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ivatal\_kozos\Képviselőtestületi előterjesztések\2019. ZALAKAROS\2019. május 16\Rendeletek\"/>
    </mc:Choice>
  </mc:AlternateContent>
  <bookViews>
    <workbookView xWindow="-120" yWindow="-120" windowWidth="20730" windowHeight="11160" firstSheet="26" activeTab="30"/>
  </bookViews>
  <sheets>
    <sheet name="1.sz.m.-bevétel-kiadás összesít" sheetId="67" r:id="rId1"/>
    <sheet name="1.a szm.normatív támogatás " sheetId="78" r:id="rId2"/>
    <sheet name="2.sz.m.bevétel-kiadás " sheetId="70" r:id="rId3"/>
    <sheet name="3.sz.m.bevételek jogcímenként" sheetId="77" r:id="rId4"/>
    <sheet name="3.a.sz.m.bevételek cofog" sheetId="89" r:id="rId5"/>
    <sheet name="4.sz.m.kiadások cofog" sheetId="87" r:id="rId6"/>
    <sheet name="4.a. sz.m.egyéb műk.kiadás " sheetId="65" r:id="rId7"/>
    <sheet name="4.b.sz.m.ellátottak juttatása " sheetId="79" r:id="rId8"/>
    <sheet name="5.sz.m.-Beruházás és felújítás" sheetId="61" r:id="rId9"/>
    <sheet name="6.sz.m.-uniós projektek " sheetId="75" r:id="rId10"/>
    <sheet name="7.sz.m.- mérleg" sheetId="90" r:id="rId11"/>
    <sheet name="7.a.sz.m. - eredménykim." sheetId="91" r:id="rId12"/>
    <sheet name="8.sz.m - több éves hat.járó.ei." sheetId="59" r:id="rId13"/>
    <sheet name="9.sz.m.-maradványkimutatás" sheetId="92" r:id="rId14"/>
    <sheet name="10.sz.m.-maradványelszámolás" sheetId="93" r:id="rId15"/>
    <sheet name="11.sz.m. -vagyonkimutatás" sheetId="107" r:id="rId16"/>
    <sheet name="12.sz.m.-közvetett támogatások" sheetId="58" r:id="rId17"/>
    <sheet name="13. sz. mell. Pénzeszk.vált " sheetId="94" r:id="rId18"/>
    <sheet name="14. sz.m.adósságot kel.ügy." sheetId="95" r:id="rId19"/>
    <sheet name="15.sz.m.részesedések" sheetId="96" r:id="rId20"/>
    <sheet name="16.sz.m. létszám" sheetId="81" r:id="rId21"/>
    <sheet name="17.sz.m.K01.Kvetési kiadások" sheetId="97" r:id="rId22"/>
    <sheet name="18.sz.m.K02.Kvetési bevételek" sheetId="98" r:id="rId23"/>
    <sheet name="19.sz.m.K03.Finansz.kiadások" sheetId="99" r:id="rId24"/>
    <sheet name="20.sz.m.Finansz.bevételek" sheetId="100" r:id="rId25"/>
    <sheet name="21.sz.m. mérleg" sheetId="102" r:id="rId26"/>
    <sheet name="22.sz.m.maradványkimutatás" sheetId="101" r:id="rId27"/>
    <sheet name="23.sz.m.eredménykimutatás" sheetId="103" r:id="rId28"/>
    <sheet name="24.a. Tájékoztató - támogatás" sheetId="108" r:id="rId29"/>
    <sheet name="24b.  Tájékoztató- támogatás" sheetId="109" r:id="rId30"/>
    <sheet name="Munka1" sheetId="110" r:id="rId31"/>
  </sheets>
  <externalReferences>
    <externalReference r:id="rId32"/>
    <externalReference r:id="rId33"/>
    <externalReference r:id="rId34"/>
  </externalReferences>
  <definedNames>
    <definedName name="adat">'11.sz.m. -vagyonkimutatás'!$A$9:$AU$120</definedName>
    <definedName name="_xlnm.Print_Titles" localSheetId="1">'1.a szm.normatív támogatás '!$1:$3</definedName>
    <definedName name="_xlnm.Print_Titles" localSheetId="14">'10.sz.m.-maradványelszámolás'!$1:$2</definedName>
    <definedName name="_xlnm.Print_Titles" localSheetId="15">'11.sz.m. -vagyonkimutatás'!$2:$8</definedName>
    <definedName name="_xlnm.Print_Titles" localSheetId="18">'14. sz.m.adósságot kel.ügy.'!$6:$6</definedName>
    <definedName name="_xlnm.Print_Titles" localSheetId="2">'2.sz.m.bevétel-kiadás '!$1:$2</definedName>
    <definedName name="_xlnm.Print_Titles" localSheetId="28">'24.a. Tájékoztató - támogatás'!$5:$6</definedName>
    <definedName name="_xlnm.Print_Titles" localSheetId="3">'3.sz.m.bevételek jogcímenként'!$2:$3</definedName>
    <definedName name="_xlnm.Print_Titles" localSheetId="6">'4.a. sz.m.egyéb műk.kiadás '!$1:$1</definedName>
    <definedName name="_xlnm.Print_Titles" localSheetId="8">'5.sz.m.-Beruházás és felújítás'!$2:$5</definedName>
    <definedName name="_xlnm.Print_Titles" localSheetId="11">'7.a.sz.m. - eredménykim.'!$3:$4</definedName>
    <definedName name="_xlnm.Print_Titles" localSheetId="10">'7.sz.m.- mérleg'!$3:$4</definedName>
    <definedName name="_xlnm.Print_Titles" localSheetId="13">'9.sz.m.-maradványkimutatás'!$1:$2</definedName>
    <definedName name="_xlnm.Print_Area" localSheetId="0">'1.sz.m.-bevétel-kiadás összesít'!$A$1:$H$64</definedName>
    <definedName name="_xlnm.Print_Area" localSheetId="14">'10.sz.m.-maradványelszámolás'!$A$1:$G$16</definedName>
    <definedName name="_xlnm.Print_Area" localSheetId="18">'14. sz.m.adósságot kel.ügy.'!$A$1:$H$34</definedName>
    <definedName name="_xlnm.Print_Area" localSheetId="22">'18.sz.m.K02.Kvetési bevételek'!$A$1:$G$71</definedName>
    <definedName name="_xlnm.Print_Area" localSheetId="23">'19.sz.m.K03.Finansz.kiadások'!$A$1:$I$12</definedName>
    <definedName name="_xlnm.Print_Area" localSheetId="3">'3.sz.m.bevételek jogcímenként'!$A$1:$H$100</definedName>
    <definedName name="_xlnm.Print_Area" localSheetId="7">'4.b.sz.m.ellátottak juttatása '!$A$1:$H$23</definedName>
    <definedName name="_xlnm.Print_Area" localSheetId="8">'5.sz.m.-Beruházás és felújítás'!$A$1:$H$80</definedName>
    <definedName name="_xlnm.Print_Area" localSheetId="11">'7.a.sz.m. - eredménykim.'!$A$1:$R$34</definedName>
    <definedName name="_xlnm.Print_Area" localSheetId="10">'7.sz.m.- mérleg'!$A$1:$Q$66</definedName>
    <definedName name="_xlnm.Print_Area" localSheetId="13">'9.sz.m.-maradványkimutatás'!$A$1:$G$21</definedName>
  </definedNames>
  <calcPr calcId="162913"/>
</workbook>
</file>

<file path=xl/calcChain.xml><?xml version="1.0" encoding="utf-8"?>
<calcChain xmlns="http://schemas.openxmlformats.org/spreadsheetml/2006/main">
  <c r="F53" i="87" l="1"/>
  <c r="E53" i="87"/>
  <c r="G14" i="75" l="1"/>
  <c r="D14" i="75"/>
  <c r="E14" i="75"/>
  <c r="C14" i="75"/>
  <c r="K13" i="75"/>
  <c r="K12" i="75"/>
  <c r="K7" i="75"/>
  <c r="J13" i="75"/>
  <c r="K11" i="75"/>
  <c r="K9" i="75"/>
  <c r="K8" i="75"/>
  <c r="K14" i="75" l="1"/>
  <c r="J8" i="75"/>
  <c r="I8" i="75" s="1"/>
  <c r="I12" i="75"/>
  <c r="H11" i="75"/>
  <c r="H14" i="75" s="1"/>
  <c r="I9" i="75"/>
  <c r="J7" i="75"/>
  <c r="J14" i="75" s="1"/>
  <c r="F9" i="75"/>
  <c r="F10" i="75"/>
  <c r="O9" i="59"/>
  <c r="N9" i="59"/>
  <c r="M9" i="59"/>
  <c r="L9" i="59"/>
  <c r="K9" i="59"/>
  <c r="J9" i="59"/>
  <c r="I9" i="59"/>
  <c r="H9" i="59"/>
  <c r="G9" i="59"/>
  <c r="F9" i="59"/>
  <c r="I14" i="75" l="1"/>
  <c r="F14" i="75"/>
  <c r="C32" i="109"/>
  <c r="E30" i="109"/>
  <c r="F28" i="109" s="1"/>
  <c r="E27" i="109"/>
  <c r="F25" i="109" s="1"/>
  <c r="E24" i="109"/>
  <c r="F22" i="109"/>
  <c r="E21" i="109"/>
  <c r="F20" i="109"/>
  <c r="E19" i="109"/>
  <c r="E16" i="109"/>
  <c r="F14" i="109" s="1"/>
  <c r="E13" i="109"/>
  <c r="F11" i="109" s="1"/>
  <c r="E10" i="109"/>
  <c r="F7" i="109" s="1"/>
  <c r="C61" i="108"/>
  <c r="E60" i="108"/>
  <c r="E58" i="108"/>
  <c r="F55" i="108" s="1"/>
  <c r="E54" i="108"/>
  <c r="E48" i="108"/>
  <c r="E46" i="108"/>
  <c r="E40" i="108"/>
  <c r="E36" i="108"/>
  <c r="F36" i="108" s="1"/>
  <c r="E30" i="108"/>
  <c r="E24" i="108"/>
  <c r="C24" i="108"/>
  <c r="C41" i="108" s="1"/>
  <c r="E23" i="108"/>
  <c r="E15" i="108"/>
  <c r="E32" i="109" l="1"/>
  <c r="E41" i="108"/>
  <c r="E61" i="108"/>
  <c r="E62" i="108" s="1"/>
  <c r="C62" i="108"/>
  <c r="F32" i="109"/>
  <c r="H32" i="95" l="1"/>
  <c r="H31" i="95"/>
  <c r="H30" i="95"/>
  <c r="H29" i="95"/>
  <c r="H28" i="95"/>
  <c r="H27" i="95"/>
  <c r="H26" i="95"/>
  <c r="H25" i="95"/>
  <c r="H24" i="95"/>
  <c r="H23" i="95"/>
  <c r="H22" i="95"/>
  <c r="H21" i="95"/>
  <c r="H20" i="95"/>
  <c r="H19" i="95"/>
  <c r="H18" i="95"/>
  <c r="H17" i="95"/>
  <c r="H16" i="95"/>
  <c r="H13" i="95"/>
  <c r="H12" i="95"/>
  <c r="H11" i="95"/>
  <c r="H10" i="95"/>
  <c r="H9" i="95"/>
  <c r="H8" i="95"/>
  <c r="H7" i="95"/>
  <c r="F13" i="93" l="1"/>
  <c r="E13" i="93"/>
  <c r="D13" i="93"/>
  <c r="C13" i="93"/>
  <c r="N24" i="91"/>
  <c r="K24" i="91"/>
  <c r="H24" i="91"/>
  <c r="E24" i="91"/>
  <c r="R11" i="91"/>
  <c r="P11" i="91"/>
  <c r="O32" i="91"/>
  <c r="N32" i="91"/>
  <c r="N33" i="91" s="1"/>
  <c r="M32" i="91"/>
  <c r="L32" i="91"/>
  <c r="K32" i="91"/>
  <c r="K33" i="91" s="1"/>
  <c r="J32" i="91"/>
  <c r="I32" i="91"/>
  <c r="H32" i="91"/>
  <c r="H33" i="91" s="1"/>
  <c r="G32" i="91"/>
  <c r="F32" i="91"/>
  <c r="E33" i="91"/>
  <c r="D32" i="91"/>
  <c r="P26" i="91"/>
  <c r="M29" i="91"/>
  <c r="M21" i="91"/>
  <c r="M17" i="91"/>
  <c r="M13" i="91"/>
  <c r="M8" i="91"/>
  <c r="M24" i="91" s="1"/>
  <c r="J29" i="91"/>
  <c r="J21" i="91"/>
  <c r="J17" i="91"/>
  <c r="J13" i="91"/>
  <c r="J24" i="91" s="1"/>
  <c r="J8" i="91"/>
  <c r="G29" i="91"/>
  <c r="G21" i="91"/>
  <c r="G17" i="91"/>
  <c r="G13" i="91"/>
  <c r="G8" i="91"/>
  <c r="D29" i="91"/>
  <c r="D21" i="91"/>
  <c r="D24" i="91" s="1"/>
  <c r="D17" i="91"/>
  <c r="D13" i="91"/>
  <c r="D8" i="91"/>
  <c r="E65" i="90"/>
  <c r="C65" i="90"/>
  <c r="E55" i="90"/>
  <c r="C55" i="90"/>
  <c r="Q54" i="90"/>
  <c r="Q53" i="90"/>
  <c r="Q52" i="90"/>
  <c r="L42" i="90"/>
  <c r="L38" i="90"/>
  <c r="L35" i="90"/>
  <c r="L32" i="90"/>
  <c r="L27" i="90"/>
  <c r="L22" i="90"/>
  <c r="L19" i="90"/>
  <c r="L16" i="90"/>
  <c r="L12" i="90"/>
  <c r="L8" i="90"/>
  <c r="I42" i="90"/>
  <c r="I38" i="90"/>
  <c r="I35" i="90"/>
  <c r="I32" i="90"/>
  <c r="I27" i="90"/>
  <c r="I22" i="90"/>
  <c r="I19" i="90"/>
  <c r="I23" i="90" s="1"/>
  <c r="I16" i="90"/>
  <c r="I12" i="90"/>
  <c r="I8" i="90"/>
  <c r="F42" i="90"/>
  <c r="F38" i="90"/>
  <c r="F35" i="90"/>
  <c r="F32" i="90"/>
  <c r="F27" i="90"/>
  <c r="F22" i="90"/>
  <c r="F19" i="90"/>
  <c r="F16" i="90"/>
  <c r="F12" i="90"/>
  <c r="F8" i="90"/>
  <c r="L65" i="90"/>
  <c r="L60" i="90"/>
  <c r="L57" i="90"/>
  <c r="L55" i="90"/>
  <c r="L50" i="90"/>
  <c r="I65" i="90"/>
  <c r="I60" i="90"/>
  <c r="I57" i="90"/>
  <c r="I55" i="90"/>
  <c r="I50" i="90"/>
  <c r="F65" i="90"/>
  <c r="F60" i="90"/>
  <c r="F57" i="90"/>
  <c r="F55" i="90"/>
  <c r="F50" i="90"/>
  <c r="C60" i="90"/>
  <c r="C57" i="90"/>
  <c r="C50" i="90"/>
  <c r="C42" i="90"/>
  <c r="C38" i="90"/>
  <c r="C35" i="90"/>
  <c r="C32" i="90"/>
  <c r="C27" i="90"/>
  <c r="C22" i="90"/>
  <c r="C19" i="90"/>
  <c r="C16" i="90"/>
  <c r="C12" i="90"/>
  <c r="C8" i="90"/>
  <c r="L17" i="90" l="1"/>
  <c r="L39" i="90"/>
  <c r="G24" i="91"/>
  <c r="H34" i="91"/>
  <c r="F61" i="90"/>
  <c r="F66" i="90" s="1"/>
  <c r="L61" i="90"/>
  <c r="F23" i="90"/>
  <c r="I39" i="90"/>
  <c r="L23" i="90"/>
  <c r="C17" i="90"/>
  <c r="C39" i="90"/>
  <c r="F17" i="90"/>
  <c r="I61" i="90"/>
  <c r="I66" i="90" s="1"/>
  <c r="F39" i="90"/>
  <c r="I17" i="90"/>
  <c r="C23" i="90"/>
  <c r="N34" i="91"/>
  <c r="D33" i="91"/>
  <c r="G33" i="91"/>
  <c r="K34" i="91"/>
  <c r="M33" i="91"/>
  <c r="J33" i="91"/>
  <c r="G34" i="91"/>
  <c r="F44" i="65"/>
  <c r="D44" i="65"/>
  <c r="F43" i="90" l="1"/>
  <c r="I43" i="90"/>
  <c r="C43" i="90"/>
  <c r="D34" i="91"/>
  <c r="M34" i="91"/>
  <c r="J34" i="91"/>
  <c r="P34" i="91" l="1"/>
  <c r="G44" i="65" l="1"/>
  <c r="E13" i="77" l="1"/>
  <c r="E12" i="77"/>
  <c r="E11" i="77"/>
  <c r="E10" i="77"/>
  <c r="E9" i="77"/>
  <c r="E8" i="77"/>
  <c r="G7" i="96" l="1"/>
  <c r="F7" i="96"/>
  <c r="D7" i="96"/>
  <c r="G33" i="95"/>
  <c r="F33" i="95"/>
  <c r="E33" i="95"/>
  <c r="D33" i="95"/>
  <c r="C33" i="95"/>
  <c r="G14" i="95"/>
  <c r="G15" i="95" s="1"/>
  <c r="F14" i="95"/>
  <c r="F15" i="95" s="1"/>
  <c r="F34" i="95" s="1"/>
  <c r="E14" i="95"/>
  <c r="E15" i="95" s="1"/>
  <c r="E34" i="95" s="1"/>
  <c r="D14" i="95"/>
  <c r="C14" i="95"/>
  <c r="C15" i="95" s="1"/>
  <c r="I21" i="94"/>
  <c r="I20" i="94"/>
  <c r="H19" i="94"/>
  <c r="H22" i="94" s="1"/>
  <c r="G19" i="94"/>
  <c r="G22" i="94" s="1"/>
  <c r="F19" i="94"/>
  <c r="F22" i="94" s="1"/>
  <c r="E19" i="94"/>
  <c r="E22" i="94" s="1"/>
  <c r="I18" i="94"/>
  <c r="I17" i="94"/>
  <c r="I13" i="94"/>
  <c r="I12" i="94"/>
  <c r="I11" i="94"/>
  <c r="H10" i="94"/>
  <c r="H14" i="94" s="1"/>
  <c r="G10" i="94"/>
  <c r="G14" i="94" s="1"/>
  <c r="F10" i="94"/>
  <c r="F14" i="94" s="1"/>
  <c r="E10" i="94"/>
  <c r="E14" i="94" s="1"/>
  <c r="I9" i="94"/>
  <c r="I8" i="94"/>
  <c r="I6" i="94"/>
  <c r="G12" i="93"/>
  <c r="G11" i="93"/>
  <c r="G10" i="93"/>
  <c r="G21" i="92"/>
  <c r="G20" i="92"/>
  <c r="G18" i="92"/>
  <c r="G16" i="92"/>
  <c r="F15" i="92"/>
  <c r="E15" i="92"/>
  <c r="D15" i="92"/>
  <c r="C15" i="92"/>
  <c r="G14" i="92"/>
  <c r="G13" i="92"/>
  <c r="F12" i="92"/>
  <c r="E12" i="92"/>
  <c r="D12" i="92"/>
  <c r="C12" i="92"/>
  <c r="G11" i="92"/>
  <c r="G10" i="92"/>
  <c r="F8" i="92"/>
  <c r="E8" i="92"/>
  <c r="D8" i="92"/>
  <c r="C8" i="92"/>
  <c r="G7" i="92"/>
  <c r="G6" i="92"/>
  <c r="F5" i="92"/>
  <c r="E5" i="92"/>
  <c r="D5" i="92"/>
  <c r="C5" i="92"/>
  <c r="G4" i="92"/>
  <c r="G3" i="92"/>
  <c r="P32" i="91"/>
  <c r="R31" i="91"/>
  <c r="P31" i="91"/>
  <c r="R30" i="91"/>
  <c r="P30" i="91"/>
  <c r="O29" i="91"/>
  <c r="O33" i="91" s="1"/>
  <c r="L29" i="91"/>
  <c r="L33" i="91" s="1"/>
  <c r="I29" i="91"/>
  <c r="I33" i="91" s="1"/>
  <c r="F29" i="91"/>
  <c r="F33" i="91" s="1"/>
  <c r="P33" i="91"/>
  <c r="R28" i="91"/>
  <c r="P28" i="91"/>
  <c r="R27" i="91"/>
  <c r="P27" i="91"/>
  <c r="R25" i="91"/>
  <c r="P25" i="91"/>
  <c r="R23" i="91"/>
  <c r="P23" i="91"/>
  <c r="R22" i="91"/>
  <c r="P22" i="91"/>
  <c r="O21" i="91"/>
  <c r="L21" i="91"/>
  <c r="I21" i="91"/>
  <c r="F21" i="91"/>
  <c r="P21" i="91"/>
  <c r="R20" i="91"/>
  <c r="P20" i="91"/>
  <c r="R19" i="91"/>
  <c r="P19" i="91"/>
  <c r="R18" i="91"/>
  <c r="P18" i="91"/>
  <c r="O17" i="91"/>
  <c r="L17" i="91"/>
  <c r="I17" i="91"/>
  <c r="F17" i="91"/>
  <c r="P17" i="91"/>
  <c r="R16" i="91"/>
  <c r="P16" i="91"/>
  <c r="R15" i="91"/>
  <c r="P15" i="91"/>
  <c r="R14" i="91"/>
  <c r="P14" i="91"/>
  <c r="O13" i="91"/>
  <c r="L13" i="91"/>
  <c r="I13" i="91"/>
  <c r="F13" i="91"/>
  <c r="P13" i="91"/>
  <c r="R12" i="91"/>
  <c r="P12" i="91"/>
  <c r="R10" i="91"/>
  <c r="P10" i="91"/>
  <c r="R9" i="91"/>
  <c r="P9" i="91"/>
  <c r="O8" i="91"/>
  <c r="L8" i="91"/>
  <c r="I8" i="91"/>
  <c r="F8" i="91"/>
  <c r="P8" i="91"/>
  <c r="R7" i="91"/>
  <c r="P7" i="91"/>
  <c r="R6" i="91"/>
  <c r="P6" i="91"/>
  <c r="R5" i="91"/>
  <c r="P5" i="91"/>
  <c r="M66" i="90"/>
  <c r="J66" i="90"/>
  <c r="G66" i="90"/>
  <c r="P65" i="90"/>
  <c r="N65" i="90"/>
  <c r="K65" i="90"/>
  <c r="H65" i="90"/>
  <c r="Q64" i="90"/>
  <c r="P64" i="90"/>
  <c r="O64" i="90"/>
  <c r="Q63" i="90"/>
  <c r="P63" i="90"/>
  <c r="O63" i="90"/>
  <c r="P61" i="90"/>
  <c r="P60" i="90"/>
  <c r="N60" i="90"/>
  <c r="K60" i="90"/>
  <c r="H60" i="90"/>
  <c r="E60" i="90"/>
  <c r="O60" i="90"/>
  <c r="Q59" i="90"/>
  <c r="P59" i="90"/>
  <c r="O59" i="90"/>
  <c r="Q58" i="90"/>
  <c r="P58" i="90"/>
  <c r="O58" i="90"/>
  <c r="P57" i="90"/>
  <c r="N57" i="90"/>
  <c r="K57" i="90"/>
  <c r="H57" i="90"/>
  <c r="E57" i="90"/>
  <c r="O57" i="90"/>
  <c r="Q56" i="90"/>
  <c r="P56" i="90"/>
  <c r="O56" i="90"/>
  <c r="P55" i="90"/>
  <c r="N55" i="90"/>
  <c r="K55" i="90"/>
  <c r="K61" i="90" s="1"/>
  <c r="H55" i="90"/>
  <c r="Q51" i="90"/>
  <c r="P51" i="90"/>
  <c r="O51" i="90"/>
  <c r="N50" i="90"/>
  <c r="K50" i="90"/>
  <c r="H50" i="90"/>
  <c r="O50" i="90"/>
  <c r="E50" i="90"/>
  <c r="D50" i="90"/>
  <c r="D66" i="90" s="1"/>
  <c r="Q49" i="90"/>
  <c r="P49" i="90"/>
  <c r="O49" i="90"/>
  <c r="Q48" i="90"/>
  <c r="P48" i="90"/>
  <c r="O48" i="90"/>
  <c r="Q47" i="90"/>
  <c r="P47" i="90"/>
  <c r="O47" i="90"/>
  <c r="Q46" i="90"/>
  <c r="P46" i="90"/>
  <c r="O46" i="90"/>
  <c r="Q45" i="90"/>
  <c r="P45" i="90"/>
  <c r="O45" i="90"/>
  <c r="P42" i="90"/>
  <c r="N42" i="90"/>
  <c r="K42" i="90"/>
  <c r="H42" i="90"/>
  <c r="E42" i="90"/>
  <c r="O42" i="90"/>
  <c r="Q41" i="90"/>
  <c r="P41" i="90"/>
  <c r="O41" i="90"/>
  <c r="Q40" i="90"/>
  <c r="P40" i="90"/>
  <c r="O40" i="90"/>
  <c r="N38" i="90"/>
  <c r="K38" i="90"/>
  <c r="H38" i="90"/>
  <c r="E38" i="90"/>
  <c r="D38" i="90"/>
  <c r="P38" i="90" s="1"/>
  <c r="O38" i="90"/>
  <c r="Q37" i="90"/>
  <c r="P37" i="90"/>
  <c r="O37" i="90"/>
  <c r="Q36" i="90"/>
  <c r="P36" i="90"/>
  <c r="O36" i="90"/>
  <c r="N35" i="90"/>
  <c r="K35" i="90"/>
  <c r="H35" i="90"/>
  <c r="E35" i="90"/>
  <c r="D35" i="90"/>
  <c r="P35" i="90" s="1"/>
  <c r="O35" i="90"/>
  <c r="Q34" i="90"/>
  <c r="P34" i="90"/>
  <c r="O34" i="90"/>
  <c r="Q33" i="90"/>
  <c r="P33" i="90"/>
  <c r="O33" i="90"/>
  <c r="N32" i="90"/>
  <c r="K32" i="90"/>
  <c r="H32" i="90"/>
  <c r="E32" i="90"/>
  <c r="D32" i="90"/>
  <c r="D39" i="90" s="1"/>
  <c r="P39" i="90" s="1"/>
  <c r="O32" i="90"/>
  <c r="Q31" i="90"/>
  <c r="P31" i="90"/>
  <c r="O31" i="90"/>
  <c r="Q30" i="90"/>
  <c r="P30" i="90"/>
  <c r="O30" i="90"/>
  <c r="Q29" i="90"/>
  <c r="P29" i="90"/>
  <c r="O29" i="90"/>
  <c r="Q28" i="90"/>
  <c r="P28" i="90"/>
  <c r="O28" i="90"/>
  <c r="N27" i="90"/>
  <c r="K27" i="90"/>
  <c r="H27" i="90"/>
  <c r="E27" i="90"/>
  <c r="D27" i="90"/>
  <c r="P27" i="90" s="1"/>
  <c r="O27" i="90"/>
  <c r="Q26" i="90"/>
  <c r="P26" i="90"/>
  <c r="O26" i="90"/>
  <c r="Q25" i="90"/>
  <c r="P25" i="90"/>
  <c r="O25" i="90"/>
  <c r="Q24" i="90"/>
  <c r="P24" i="90"/>
  <c r="O24" i="90"/>
  <c r="N22" i="90"/>
  <c r="K22" i="90"/>
  <c r="H22" i="90"/>
  <c r="O22" i="90"/>
  <c r="E22" i="90"/>
  <c r="D22" i="90"/>
  <c r="P22" i="90" s="1"/>
  <c r="Q21" i="90"/>
  <c r="P21" i="90"/>
  <c r="O21" i="90"/>
  <c r="Q20" i="90"/>
  <c r="P20" i="90"/>
  <c r="O20" i="90"/>
  <c r="P19" i="90"/>
  <c r="N19" i="90"/>
  <c r="K19" i="90"/>
  <c r="H19" i="90"/>
  <c r="E19" i="90"/>
  <c r="Q18" i="90"/>
  <c r="P18" i="90"/>
  <c r="O18" i="90"/>
  <c r="N16" i="90"/>
  <c r="M16" i="90"/>
  <c r="M17" i="90" s="1"/>
  <c r="L43" i="90"/>
  <c r="K16" i="90"/>
  <c r="J16" i="90"/>
  <c r="J17" i="90" s="1"/>
  <c r="H16" i="90"/>
  <c r="G16" i="90"/>
  <c r="G17" i="90" s="1"/>
  <c r="E16" i="90"/>
  <c r="D16" i="90"/>
  <c r="O16" i="90"/>
  <c r="Q15" i="90"/>
  <c r="P15" i="90"/>
  <c r="O15" i="90"/>
  <c r="Q14" i="90"/>
  <c r="P14" i="90"/>
  <c r="O14" i="90"/>
  <c r="Q13" i="90"/>
  <c r="P13" i="90"/>
  <c r="O13" i="90"/>
  <c r="N12" i="90"/>
  <c r="K12" i="90"/>
  <c r="H12" i="90"/>
  <c r="E12" i="90"/>
  <c r="D12" i="90"/>
  <c r="P12" i="90" s="1"/>
  <c r="O12" i="90"/>
  <c r="Q11" i="90"/>
  <c r="P11" i="90"/>
  <c r="O11" i="90"/>
  <c r="Q10" i="90"/>
  <c r="P10" i="90"/>
  <c r="O10" i="90"/>
  <c r="Q9" i="90"/>
  <c r="P9" i="90"/>
  <c r="O9" i="90"/>
  <c r="P8" i="90"/>
  <c r="N8" i="90"/>
  <c r="K8" i="90"/>
  <c r="H8" i="90"/>
  <c r="E8" i="90"/>
  <c r="O8" i="90"/>
  <c r="Q7" i="90"/>
  <c r="P7" i="90"/>
  <c r="O7" i="90"/>
  <c r="Q6" i="90"/>
  <c r="P6" i="90"/>
  <c r="O6" i="90"/>
  <c r="K23" i="90" l="1"/>
  <c r="N61" i="90"/>
  <c r="N66" i="90" s="1"/>
  <c r="I24" i="91"/>
  <c r="E9" i="92"/>
  <c r="E17" i="92" s="1"/>
  <c r="E3" i="93" s="1"/>
  <c r="G15" i="92"/>
  <c r="F9" i="92"/>
  <c r="F17" i="92" s="1"/>
  <c r="F19" i="92" s="1"/>
  <c r="F14" i="93" s="1"/>
  <c r="F16" i="93" s="1"/>
  <c r="O24" i="91"/>
  <c r="D17" i="90"/>
  <c r="P17" i="90" s="1"/>
  <c r="P32" i="90"/>
  <c r="H61" i="90"/>
  <c r="H66" i="90" s="1"/>
  <c r="F24" i="91"/>
  <c r="F34" i="91" s="1"/>
  <c r="G12" i="92"/>
  <c r="H23" i="90"/>
  <c r="Q57" i="90"/>
  <c r="L66" i="90" s="1"/>
  <c r="L24" i="91"/>
  <c r="L34" i="91" s="1"/>
  <c r="F3" i="93"/>
  <c r="N23" i="90"/>
  <c r="D15" i="95"/>
  <c r="H15" i="95" s="1"/>
  <c r="H14" i="95"/>
  <c r="H33" i="95"/>
  <c r="G34" i="95"/>
  <c r="F23" i="94"/>
  <c r="H23" i="94"/>
  <c r="G23" i="94"/>
  <c r="C9" i="92"/>
  <c r="C17" i="92" s="1"/>
  <c r="C3" i="93" s="1"/>
  <c r="D9" i="92"/>
  <c r="D17" i="92" s="1"/>
  <c r="G8" i="92"/>
  <c r="E34" i="91"/>
  <c r="Q34" i="91" s="1"/>
  <c r="O34" i="91"/>
  <c r="R32" i="91"/>
  <c r="R21" i="91"/>
  <c r="R13" i="91"/>
  <c r="I34" i="91"/>
  <c r="R17" i="91"/>
  <c r="Q60" i="90"/>
  <c r="P66" i="90"/>
  <c r="K17" i="90"/>
  <c r="N39" i="90"/>
  <c r="N17" i="90"/>
  <c r="K39" i="90"/>
  <c r="H39" i="90"/>
  <c r="Q27" i="90"/>
  <c r="Q12" i="90"/>
  <c r="K66" i="90"/>
  <c r="Q65" i="90"/>
  <c r="Q50" i="90"/>
  <c r="Q42" i="90"/>
  <c r="Q8" i="90"/>
  <c r="H17" i="90"/>
  <c r="Q22" i="90"/>
  <c r="Q32" i="90"/>
  <c r="Q35" i="90"/>
  <c r="Q38" i="90"/>
  <c r="Q16" i="90"/>
  <c r="E61" i="90"/>
  <c r="Q61" i="90" s="1"/>
  <c r="Q55" i="90"/>
  <c r="E23" i="90"/>
  <c r="Q19" i="90"/>
  <c r="C34" i="95"/>
  <c r="E23" i="94"/>
  <c r="I14" i="94"/>
  <c r="I19" i="94"/>
  <c r="I22" i="94" s="1"/>
  <c r="I10" i="94"/>
  <c r="G13" i="93"/>
  <c r="G5" i="92"/>
  <c r="R8" i="91"/>
  <c r="P29" i="91"/>
  <c r="R29" i="91"/>
  <c r="E66" i="90"/>
  <c r="O23" i="90"/>
  <c r="P16" i="90"/>
  <c r="E17" i="90"/>
  <c r="O19" i="90"/>
  <c r="E39" i="90"/>
  <c r="D23" i="90"/>
  <c r="P23" i="90" s="1"/>
  <c r="O39" i="90"/>
  <c r="P50" i="90"/>
  <c r="E19" i="92" l="1"/>
  <c r="E14" i="93" s="1"/>
  <c r="E16" i="93" s="1"/>
  <c r="Q23" i="90"/>
  <c r="N43" i="90"/>
  <c r="D34" i="95"/>
  <c r="H34" i="95" s="1"/>
  <c r="F15" i="93"/>
  <c r="D19" i="92"/>
  <c r="D14" i="93" s="1"/>
  <c r="D3" i="93"/>
  <c r="G3" i="93" s="1"/>
  <c r="E15" i="93"/>
  <c r="I23" i="94"/>
  <c r="G9" i="92"/>
  <c r="R34" i="91"/>
  <c r="R33" i="91"/>
  <c r="R24" i="91"/>
  <c r="H43" i="90"/>
  <c r="K43" i="90"/>
  <c r="Q39" i="90"/>
  <c r="Q66" i="90"/>
  <c r="C19" i="92"/>
  <c r="G17" i="92"/>
  <c r="P24" i="91"/>
  <c r="E43" i="90"/>
  <c r="Q17" i="90"/>
  <c r="O43" i="90"/>
  <c r="O17" i="90"/>
  <c r="D43" i="90"/>
  <c r="P43" i="90" s="1"/>
  <c r="G19" i="92" l="1"/>
  <c r="C14" i="93"/>
  <c r="D15" i="93"/>
  <c r="G15" i="93" s="1"/>
  <c r="D16" i="93"/>
  <c r="Q43" i="90"/>
  <c r="C16" i="93" l="1"/>
  <c r="G16" i="93" s="1"/>
  <c r="G14" i="93"/>
  <c r="N57" i="78"/>
  <c r="N66" i="78"/>
  <c r="N65" i="78"/>
  <c r="N64" i="78"/>
  <c r="N61" i="78"/>
  <c r="N58" i="78"/>
  <c r="N56" i="78"/>
  <c r="N55" i="78"/>
  <c r="N54" i="78"/>
  <c r="N51" i="78"/>
  <c r="N50" i="78"/>
  <c r="N46" i="78"/>
  <c r="N45" i="78"/>
  <c r="N44" i="78"/>
  <c r="N43" i="78"/>
  <c r="N42" i="78"/>
  <c r="N41" i="78"/>
  <c r="N40" i="78"/>
  <c r="N39" i="78"/>
  <c r="N37" i="78"/>
  <c r="N36" i="78"/>
  <c r="N35" i="78"/>
  <c r="N34" i="78"/>
  <c r="N31" i="78"/>
  <c r="N30" i="78"/>
  <c r="N29" i="78"/>
  <c r="N28" i="78"/>
  <c r="N27" i="78"/>
  <c r="N24" i="78"/>
  <c r="N23" i="78"/>
  <c r="N22" i="78"/>
  <c r="N21" i="78"/>
  <c r="N20" i="78"/>
  <c r="N19" i="78"/>
  <c r="N18" i="78"/>
  <c r="N17" i="78"/>
  <c r="N16" i="78"/>
  <c r="N15" i="78"/>
  <c r="N14" i="78"/>
  <c r="N13" i="78"/>
  <c r="N12" i="78"/>
  <c r="N11" i="78"/>
  <c r="N10" i="78"/>
  <c r="N9" i="78"/>
  <c r="N8" i="78"/>
  <c r="N6" i="78"/>
  <c r="J67" i="78"/>
  <c r="J59" i="78"/>
  <c r="M67" i="78"/>
  <c r="N67" i="78" s="1"/>
  <c r="J52" i="78"/>
  <c r="J47" i="78"/>
  <c r="J38" i="78"/>
  <c r="J32" i="78"/>
  <c r="J7" i="78"/>
  <c r="J5" i="78"/>
  <c r="J48" i="78" l="1"/>
  <c r="J25" i="78"/>
  <c r="AI23" i="87"/>
  <c r="BI54" i="87"/>
  <c r="BJ54" i="87"/>
  <c r="BK54" i="87"/>
  <c r="J60" i="78" l="1"/>
  <c r="J62" i="78" s="1"/>
  <c r="L89" i="89"/>
  <c r="BH84" i="87"/>
  <c r="BG84" i="87"/>
  <c r="BF84" i="87"/>
  <c r="BE84" i="87"/>
  <c r="BD84" i="87"/>
  <c r="BC84" i="87"/>
  <c r="BB84" i="87"/>
  <c r="BA84" i="87"/>
  <c r="AZ84" i="87"/>
  <c r="AY84" i="87"/>
  <c r="AX84" i="87"/>
  <c r="AW84" i="87"/>
  <c r="AV84" i="87"/>
  <c r="AU84" i="87"/>
  <c r="AT84" i="87"/>
  <c r="AS84" i="87"/>
  <c r="AR84" i="87"/>
  <c r="AQ84" i="87"/>
  <c r="AP84" i="87"/>
  <c r="AO84" i="87"/>
  <c r="AN84" i="87"/>
  <c r="AM84" i="87"/>
  <c r="AL84" i="87"/>
  <c r="AK84" i="87"/>
  <c r="AJ84" i="87"/>
  <c r="AH84" i="87"/>
  <c r="AE84" i="87"/>
  <c r="AD84" i="87"/>
  <c r="AC84" i="87"/>
  <c r="AB84" i="87"/>
  <c r="AA84" i="87"/>
  <c r="Z84" i="87"/>
  <c r="Y84" i="87"/>
  <c r="X84" i="87"/>
  <c r="W84" i="87"/>
  <c r="V84" i="87"/>
  <c r="U84" i="87"/>
  <c r="T84" i="87"/>
  <c r="S84" i="87"/>
  <c r="R84" i="87"/>
  <c r="Q84" i="87"/>
  <c r="P84" i="87"/>
  <c r="O84" i="87"/>
  <c r="N84" i="87"/>
  <c r="L84" i="87"/>
  <c r="K84" i="87"/>
  <c r="I84" i="87"/>
  <c r="H84" i="87"/>
  <c r="G84" i="87"/>
  <c r="F84" i="87"/>
  <c r="E84" i="87"/>
  <c r="AJ81" i="87"/>
  <c r="M81" i="87"/>
  <c r="J81" i="87"/>
  <c r="J84" i="87" s="1"/>
  <c r="G81" i="87"/>
  <c r="M80" i="87"/>
  <c r="M84" i="87" l="1"/>
  <c r="BK55" i="87"/>
  <c r="BK6" i="87"/>
  <c r="BK47" i="87"/>
  <c r="BJ47" i="87"/>
  <c r="BI47" i="87"/>
  <c r="BH53" i="87"/>
  <c r="BG53" i="87"/>
  <c r="BF53" i="87"/>
  <c r="BE53" i="87"/>
  <c r="BD53" i="87"/>
  <c r="BC53" i="87"/>
  <c r="BB53" i="87"/>
  <c r="BA53" i="87"/>
  <c r="AZ53" i="87"/>
  <c r="AY53" i="87"/>
  <c r="AX53" i="87"/>
  <c r="AW53" i="87"/>
  <c r="AV53" i="87"/>
  <c r="AU53" i="87"/>
  <c r="AT53" i="87"/>
  <c r="AS53" i="87"/>
  <c r="AR53" i="87"/>
  <c r="AQ53" i="87"/>
  <c r="AP53" i="87"/>
  <c r="AO53" i="87"/>
  <c r="AN53" i="87"/>
  <c r="AM53" i="87"/>
  <c r="AL53" i="87"/>
  <c r="AK53" i="87"/>
  <c r="AJ53" i="87"/>
  <c r="AI53" i="87"/>
  <c r="AH53" i="87"/>
  <c r="AE53" i="87"/>
  <c r="AD53" i="87"/>
  <c r="AC53" i="87"/>
  <c r="AB53" i="87"/>
  <c r="AA53" i="87"/>
  <c r="Z53" i="87"/>
  <c r="Y53" i="87"/>
  <c r="W53" i="87"/>
  <c r="V53" i="87"/>
  <c r="U53" i="87"/>
  <c r="T53" i="87"/>
  <c r="S53" i="87"/>
  <c r="R53" i="87"/>
  <c r="Q53" i="87"/>
  <c r="P53" i="87"/>
  <c r="O53" i="87"/>
  <c r="N53" i="87"/>
  <c r="M53" i="87"/>
  <c r="K53" i="87"/>
  <c r="J53" i="87"/>
  <c r="I53" i="87"/>
  <c r="H53" i="87"/>
  <c r="G53" i="87"/>
  <c r="BK24" i="87"/>
  <c r="BJ24" i="87"/>
  <c r="BI24" i="87"/>
  <c r="BH25" i="87"/>
  <c r="BG25" i="87"/>
  <c r="BF25" i="87"/>
  <c r="BE25" i="87"/>
  <c r="BD25" i="87"/>
  <c r="BC25" i="87"/>
  <c r="BB25" i="87"/>
  <c r="BA25" i="87"/>
  <c r="AZ25" i="87"/>
  <c r="AY25" i="87"/>
  <c r="AX25" i="87"/>
  <c r="AW25" i="87"/>
  <c r="AV25" i="87"/>
  <c r="AU25" i="87"/>
  <c r="AT25" i="87"/>
  <c r="AS25" i="87"/>
  <c r="AR25" i="87"/>
  <c r="AQ25" i="87"/>
  <c r="AP25" i="87"/>
  <c r="AO25" i="87"/>
  <c r="AN25" i="87"/>
  <c r="AM25" i="87"/>
  <c r="AL25" i="87"/>
  <c r="AK25" i="87"/>
  <c r="AJ25" i="87"/>
  <c r="AH25" i="87"/>
  <c r="AE25" i="87"/>
  <c r="AD25" i="87"/>
  <c r="AC25" i="87"/>
  <c r="AB25" i="87"/>
  <c r="AA25" i="87"/>
  <c r="Z25" i="87"/>
  <c r="Y25" i="87"/>
  <c r="X25" i="87"/>
  <c r="W25" i="87"/>
  <c r="V25" i="87"/>
  <c r="U25" i="87"/>
  <c r="T25" i="87"/>
  <c r="S25" i="87"/>
  <c r="R25" i="87"/>
  <c r="Q25" i="87"/>
  <c r="P25" i="87"/>
  <c r="O25" i="87"/>
  <c r="N25" i="87"/>
  <c r="M25" i="87"/>
  <c r="L25" i="87"/>
  <c r="K25" i="87"/>
  <c r="J25" i="87"/>
  <c r="I25" i="87"/>
  <c r="H25" i="87"/>
  <c r="G25" i="87"/>
  <c r="F25" i="87"/>
  <c r="E25" i="87"/>
  <c r="BK18" i="87"/>
  <c r="BJ18" i="87"/>
  <c r="BI18" i="87"/>
  <c r="BK15" i="87"/>
  <c r="BI15" i="87"/>
  <c r="F15" i="87"/>
  <c r="BJ15" i="87" s="1"/>
  <c r="BJ16" i="87"/>
  <c r="BI16" i="87"/>
  <c r="BK16" i="87"/>
  <c r="BK10" i="87"/>
  <c r="BJ10" i="87"/>
  <c r="BI10" i="87"/>
  <c r="AM20" i="87"/>
  <c r="BH77" i="87"/>
  <c r="BH63" i="87"/>
  <c r="BH45" i="87"/>
  <c r="BH39" i="87"/>
  <c r="BH33" i="87"/>
  <c r="BH20" i="87"/>
  <c r="BH13" i="87"/>
  <c r="BE77" i="87"/>
  <c r="BE63" i="87"/>
  <c r="BE45" i="87"/>
  <c r="BE39" i="87"/>
  <c r="BE33" i="87"/>
  <c r="BE20" i="87"/>
  <c r="BE13" i="87"/>
  <c r="BB77" i="87"/>
  <c r="BB63" i="87"/>
  <c r="BB45" i="87"/>
  <c r="BB39" i="87"/>
  <c r="BB33" i="87"/>
  <c r="BB20" i="87"/>
  <c r="BB13" i="87"/>
  <c r="AY77" i="87"/>
  <c r="AY63" i="87"/>
  <c r="AY45" i="87"/>
  <c r="AY39" i="87"/>
  <c r="AY33" i="87"/>
  <c r="AY20" i="87"/>
  <c r="AY13" i="87"/>
  <c r="AV77" i="87"/>
  <c r="AV63" i="87"/>
  <c r="AV45" i="87"/>
  <c r="AV39" i="87"/>
  <c r="AV33" i="87"/>
  <c r="AV20" i="87"/>
  <c r="AV13" i="87"/>
  <c r="AS77" i="87"/>
  <c r="AS63" i="87"/>
  <c r="AS45" i="87"/>
  <c r="AS39" i="87"/>
  <c r="AS33" i="87"/>
  <c r="AS20" i="87"/>
  <c r="AS13" i="87"/>
  <c r="AP77" i="87"/>
  <c r="AP63" i="87"/>
  <c r="AP45" i="87"/>
  <c r="AP39" i="87"/>
  <c r="AP33" i="87"/>
  <c r="AP20" i="87"/>
  <c r="AP13" i="87"/>
  <c r="AM77" i="87"/>
  <c r="AM63" i="87"/>
  <c r="AM45" i="87"/>
  <c r="AM39" i="87"/>
  <c r="AM33" i="87"/>
  <c r="AM13" i="87"/>
  <c r="AJ77" i="87"/>
  <c r="AJ63" i="87"/>
  <c r="AJ45" i="87"/>
  <c r="AJ39" i="87"/>
  <c r="AJ33" i="87"/>
  <c r="AJ20" i="87"/>
  <c r="AJ13" i="87"/>
  <c r="AE77" i="87"/>
  <c r="AE63" i="87"/>
  <c r="AE45" i="87"/>
  <c r="AE39" i="87"/>
  <c r="AE33" i="87"/>
  <c r="AE20" i="87"/>
  <c r="AE13" i="87"/>
  <c r="AB77" i="87"/>
  <c r="AB63" i="87"/>
  <c r="AB45" i="87"/>
  <c r="AB39" i="87"/>
  <c r="AB33" i="87"/>
  <c r="AB20" i="87"/>
  <c r="AB13" i="87"/>
  <c r="Y77" i="87"/>
  <c r="Y63" i="87"/>
  <c r="Y45" i="87"/>
  <c r="Y39" i="87"/>
  <c r="Y33" i="87"/>
  <c r="Y20" i="87"/>
  <c r="Y13" i="87"/>
  <c r="V77" i="87"/>
  <c r="V63" i="87"/>
  <c r="V45" i="87"/>
  <c r="V39" i="87"/>
  <c r="V33" i="87"/>
  <c r="V20" i="87"/>
  <c r="V13" i="87"/>
  <c r="S77" i="87"/>
  <c r="S63" i="87"/>
  <c r="S45" i="87"/>
  <c r="S39" i="87"/>
  <c r="S33" i="87"/>
  <c r="S20" i="87"/>
  <c r="S13" i="87"/>
  <c r="P77" i="87"/>
  <c r="P63" i="87"/>
  <c r="P45" i="87"/>
  <c r="P39" i="87"/>
  <c r="P33" i="87"/>
  <c r="P20" i="87"/>
  <c r="P13" i="87"/>
  <c r="M77" i="87"/>
  <c r="M63" i="87"/>
  <c r="M45" i="87"/>
  <c r="M39" i="87"/>
  <c r="M33" i="87"/>
  <c r="M20" i="87"/>
  <c r="M13" i="87"/>
  <c r="J77" i="87"/>
  <c r="J63" i="87"/>
  <c r="J45" i="87"/>
  <c r="J39" i="87"/>
  <c r="J33" i="87"/>
  <c r="J20" i="87"/>
  <c r="J13" i="87"/>
  <c r="G77" i="87"/>
  <c r="G63" i="87"/>
  <c r="G45" i="87"/>
  <c r="G39" i="87"/>
  <c r="G33" i="87"/>
  <c r="G20" i="87"/>
  <c r="G13" i="87"/>
  <c r="BK83" i="87"/>
  <c r="BK82" i="87"/>
  <c r="BK79" i="87"/>
  <c r="BK78" i="87"/>
  <c r="BK76" i="87"/>
  <c r="BK75" i="87"/>
  <c r="BK74" i="87"/>
  <c r="BK72" i="87"/>
  <c r="BK70" i="87"/>
  <c r="BK69" i="87"/>
  <c r="BK68" i="87"/>
  <c r="BK67" i="87"/>
  <c r="BK66" i="87"/>
  <c r="BK65" i="87"/>
  <c r="BK64" i="87"/>
  <c r="BK62" i="87"/>
  <c r="BK61" i="87"/>
  <c r="BK60" i="87"/>
  <c r="BK58" i="87"/>
  <c r="BK57" i="87"/>
  <c r="BK52" i="87"/>
  <c r="BK51" i="87"/>
  <c r="BK49" i="87"/>
  <c r="BK48" i="87"/>
  <c r="BK46" i="87"/>
  <c r="BK44" i="87"/>
  <c r="BK43" i="87"/>
  <c r="BK42" i="87"/>
  <c r="BK41" i="87"/>
  <c r="BK40" i="87"/>
  <c r="BK38" i="87"/>
  <c r="BK37" i="87"/>
  <c r="BK36" i="87"/>
  <c r="BK35" i="87"/>
  <c r="BK34" i="87"/>
  <c r="BK32" i="87"/>
  <c r="BK31" i="87"/>
  <c r="BK30" i="87"/>
  <c r="BK29" i="87"/>
  <c r="BK28" i="87"/>
  <c r="BK27" i="87"/>
  <c r="BK26" i="87"/>
  <c r="BK23" i="87"/>
  <c r="BK22" i="87"/>
  <c r="BK21" i="87"/>
  <c r="BK19" i="87"/>
  <c r="BK17" i="87"/>
  <c r="BK14" i="87"/>
  <c r="BK12" i="87"/>
  <c r="BK11" i="87"/>
  <c r="BK9" i="87"/>
  <c r="BK8" i="87"/>
  <c r="BK7" i="87"/>
  <c r="BI25" i="87" l="1"/>
  <c r="BK25" i="87"/>
  <c r="AV56" i="87"/>
  <c r="AV85" i="87" s="1"/>
  <c r="BH56" i="87"/>
  <c r="BH85" i="87" s="1"/>
  <c r="BE56" i="87"/>
  <c r="BE85" i="87" s="1"/>
  <c r="AJ56" i="87"/>
  <c r="AJ85" i="87" s="1"/>
  <c r="Y56" i="87"/>
  <c r="Y85" i="87" s="1"/>
  <c r="M56" i="87"/>
  <c r="M85" i="87" s="1"/>
  <c r="V56" i="87"/>
  <c r="V85" i="87" s="1"/>
  <c r="S56" i="87"/>
  <c r="S85" i="87" s="1"/>
  <c r="P56" i="87"/>
  <c r="P85" i="87" s="1"/>
  <c r="J56" i="87"/>
  <c r="J85" i="87" s="1"/>
  <c r="AM56" i="87"/>
  <c r="BK59" i="87"/>
  <c r="BB56" i="87"/>
  <c r="BB85" i="87" s="1"/>
  <c r="AY56" i="87"/>
  <c r="AY85" i="87" s="1"/>
  <c r="BK13" i="87"/>
  <c r="AS56" i="87"/>
  <c r="AS85" i="87" s="1"/>
  <c r="BK33" i="87"/>
  <c r="BK81" i="87"/>
  <c r="AP56" i="87"/>
  <c r="AP85" i="87" s="1"/>
  <c r="BK84" i="87"/>
  <c r="AE56" i="87"/>
  <c r="AE85" i="87" s="1"/>
  <c r="AB56" i="87"/>
  <c r="AB85" i="87" s="1"/>
  <c r="BK71" i="87"/>
  <c r="BK80" i="87"/>
  <c r="BK63" i="87"/>
  <c r="BK53" i="87"/>
  <c r="BK39" i="87"/>
  <c r="BK45" i="87"/>
  <c r="BK77" i="87"/>
  <c r="BK20" i="87"/>
  <c r="G56" i="87"/>
  <c r="BK73" i="87"/>
  <c r="BK50" i="87"/>
  <c r="BB22" i="89"/>
  <c r="BA22" i="89"/>
  <c r="AZ22" i="89"/>
  <c r="AY23" i="89"/>
  <c r="AX23" i="89"/>
  <c r="AW23" i="89"/>
  <c r="AV23" i="89"/>
  <c r="AU23" i="89"/>
  <c r="AT23" i="89"/>
  <c r="AS23" i="89"/>
  <c r="AR23" i="89"/>
  <c r="AQ23" i="89"/>
  <c r="AP23" i="89"/>
  <c r="AO23" i="89"/>
  <c r="AN23" i="89"/>
  <c r="AM23" i="89"/>
  <c r="AL23" i="89"/>
  <c r="AK23" i="89"/>
  <c r="AJ23" i="89"/>
  <c r="AI23" i="89"/>
  <c r="AH23" i="89"/>
  <c r="AG23" i="89"/>
  <c r="AF23" i="89"/>
  <c r="AE23" i="89"/>
  <c r="AA23" i="89"/>
  <c r="Z23" i="89"/>
  <c r="Y23" i="89"/>
  <c r="X23" i="89"/>
  <c r="W23" i="89"/>
  <c r="V23" i="89"/>
  <c r="U23" i="89"/>
  <c r="T23" i="89"/>
  <c r="S23" i="89"/>
  <c r="R23" i="89"/>
  <c r="Q23" i="89"/>
  <c r="P23" i="89"/>
  <c r="O23" i="89"/>
  <c r="N23" i="89"/>
  <c r="M23" i="89"/>
  <c r="L23" i="89"/>
  <c r="K23" i="89"/>
  <c r="J23" i="89"/>
  <c r="I23" i="89"/>
  <c r="H23" i="89"/>
  <c r="G23" i="89"/>
  <c r="F23" i="89"/>
  <c r="E23" i="89"/>
  <c r="D23" i="89"/>
  <c r="BB16" i="89"/>
  <c r="BA16" i="89"/>
  <c r="AZ16" i="89"/>
  <c r="BB15" i="89"/>
  <c r="BA15" i="89"/>
  <c r="AZ15" i="89"/>
  <c r="AY92" i="89"/>
  <c r="AY85" i="89"/>
  <c r="AY69" i="89"/>
  <c r="AY60" i="89"/>
  <c r="AY50" i="89"/>
  <c r="AY44" i="89"/>
  <c r="AY37" i="89"/>
  <c r="AY30" i="89"/>
  <c r="AY18" i="89"/>
  <c r="AY11" i="89"/>
  <c r="AV92" i="89"/>
  <c r="AV85" i="89"/>
  <c r="AV69" i="89"/>
  <c r="AV60" i="89"/>
  <c r="AV50" i="89"/>
  <c r="AV44" i="89"/>
  <c r="AV37" i="89"/>
  <c r="AV30" i="89"/>
  <c r="AV18" i="89"/>
  <c r="AV11" i="89"/>
  <c r="AS92" i="89"/>
  <c r="AS85" i="89"/>
  <c r="AS69" i="89"/>
  <c r="AS60" i="89"/>
  <c r="AS50" i="89"/>
  <c r="AS44" i="89"/>
  <c r="AS37" i="89"/>
  <c r="AS30" i="89"/>
  <c r="AS18" i="89"/>
  <c r="AS11" i="89"/>
  <c r="AP92" i="89"/>
  <c r="AP85" i="89"/>
  <c r="AP69" i="89"/>
  <c r="AP60" i="89"/>
  <c r="AP50" i="89"/>
  <c r="AP44" i="89"/>
  <c r="AP37" i="89"/>
  <c r="AP30" i="89"/>
  <c r="AP18" i="89"/>
  <c r="AP11" i="89"/>
  <c r="AM92" i="89"/>
  <c r="AM85" i="89"/>
  <c r="AM69" i="89"/>
  <c r="AM60" i="89"/>
  <c r="AM50" i="89"/>
  <c r="AM44" i="89"/>
  <c r="AM37" i="89"/>
  <c r="AM30" i="89"/>
  <c r="AM18" i="89"/>
  <c r="AM11" i="89"/>
  <c r="AJ92" i="89"/>
  <c r="AJ85" i="89"/>
  <c r="AJ69" i="89"/>
  <c r="AJ60" i="89"/>
  <c r="AJ50" i="89"/>
  <c r="AJ44" i="89"/>
  <c r="AJ37" i="89"/>
  <c r="AJ30" i="89"/>
  <c r="AJ18" i="89"/>
  <c r="AJ11" i="89"/>
  <c r="AG92" i="89"/>
  <c r="AG85" i="89"/>
  <c r="AG69" i="89"/>
  <c r="AG60" i="89"/>
  <c r="AG50" i="89"/>
  <c r="AG44" i="89"/>
  <c r="AG37" i="89"/>
  <c r="AG30" i="89"/>
  <c r="AG18" i="89"/>
  <c r="AG11" i="89"/>
  <c r="AA92" i="89"/>
  <c r="AA85" i="89"/>
  <c r="AA69" i="89"/>
  <c r="AA60" i="89"/>
  <c r="AA50" i="89"/>
  <c r="AA44" i="89"/>
  <c r="AA37" i="89"/>
  <c r="AA30" i="89"/>
  <c r="AA18" i="89"/>
  <c r="AA11" i="89"/>
  <c r="X92" i="89"/>
  <c r="X85" i="89"/>
  <c r="X69" i="89"/>
  <c r="X60" i="89"/>
  <c r="X50" i="89"/>
  <c r="X44" i="89"/>
  <c r="X37" i="89"/>
  <c r="X30" i="89"/>
  <c r="X18" i="89"/>
  <c r="X11" i="89"/>
  <c r="U92" i="89"/>
  <c r="U85" i="89"/>
  <c r="U69" i="89"/>
  <c r="U60" i="89"/>
  <c r="U50" i="89"/>
  <c r="U44" i="89"/>
  <c r="U37" i="89"/>
  <c r="U30" i="89"/>
  <c r="U18" i="89"/>
  <c r="U11" i="89"/>
  <c r="R92" i="89"/>
  <c r="R85" i="89"/>
  <c r="R69" i="89"/>
  <c r="R60" i="89"/>
  <c r="R50" i="89"/>
  <c r="R44" i="89"/>
  <c r="R37" i="89"/>
  <c r="R30" i="89"/>
  <c r="R18" i="89"/>
  <c r="R11" i="89"/>
  <c r="O92" i="89"/>
  <c r="O85" i="89"/>
  <c r="O69" i="89"/>
  <c r="O60" i="89"/>
  <c r="O50" i="89"/>
  <c r="O44" i="89"/>
  <c r="O37" i="89"/>
  <c r="O30" i="89"/>
  <c r="O18" i="89"/>
  <c r="O11" i="89"/>
  <c r="L92" i="89"/>
  <c r="L85" i="89"/>
  <c r="L69" i="89"/>
  <c r="L60" i="89"/>
  <c r="L50" i="89"/>
  <c r="L44" i="89"/>
  <c r="L37" i="89"/>
  <c r="L30" i="89"/>
  <c r="L18" i="89"/>
  <c r="L11" i="89"/>
  <c r="I92" i="89"/>
  <c r="I85" i="89"/>
  <c r="I69" i="89"/>
  <c r="I60" i="89"/>
  <c r="I50" i="89"/>
  <c r="I44" i="89"/>
  <c r="I37" i="89"/>
  <c r="I30" i="89"/>
  <c r="I18" i="89"/>
  <c r="I11" i="89"/>
  <c r="F92" i="89"/>
  <c r="F85" i="89"/>
  <c r="F69" i="89"/>
  <c r="F60" i="89"/>
  <c r="F50" i="89"/>
  <c r="F44" i="89"/>
  <c r="F37" i="89"/>
  <c r="F30" i="89"/>
  <c r="F18" i="89"/>
  <c r="F11" i="89"/>
  <c r="BB91" i="89"/>
  <c r="BB90" i="89"/>
  <c r="BB89" i="89"/>
  <c r="BB88" i="89"/>
  <c r="BB87" i="89"/>
  <c r="BB86" i="89"/>
  <c r="BB84" i="89"/>
  <c r="BB83" i="89"/>
  <c r="BB82" i="89"/>
  <c r="BB81" i="89"/>
  <c r="BB80" i="89"/>
  <c r="BB79" i="89"/>
  <c r="BB78" i="89"/>
  <c r="BB77" i="89"/>
  <c r="BB76" i="89"/>
  <c r="BB75" i="89"/>
  <c r="BB74" i="89"/>
  <c r="BB73" i="89"/>
  <c r="BB72" i="89"/>
  <c r="BB71" i="89"/>
  <c r="BB70" i="89"/>
  <c r="BB68" i="89"/>
  <c r="BB67" i="89"/>
  <c r="BB66" i="89"/>
  <c r="BB65" i="89"/>
  <c r="BB64" i="89"/>
  <c r="BB62" i="89"/>
  <c r="BB61" i="89"/>
  <c r="BB59" i="89"/>
  <c r="BB58" i="89"/>
  <c r="BB57" i="89"/>
  <c r="BB56" i="89"/>
  <c r="BB55" i="89"/>
  <c r="BB54" i="89"/>
  <c r="BB53" i="89"/>
  <c r="BB52" i="89"/>
  <c r="BB51" i="89"/>
  <c r="BB49" i="89"/>
  <c r="BB48" i="89"/>
  <c r="BB47" i="89"/>
  <c r="BB46" i="89"/>
  <c r="BB45" i="89"/>
  <c r="BB43" i="89"/>
  <c r="BB42" i="89"/>
  <c r="BB41" i="89"/>
  <c r="BB40" i="89"/>
  <c r="BB39" i="89"/>
  <c r="BB38" i="89"/>
  <c r="BB36" i="89"/>
  <c r="BB35" i="89"/>
  <c r="BB34" i="89"/>
  <c r="BB33" i="89"/>
  <c r="BB32" i="89"/>
  <c r="BB31" i="89"/>
  <c r="BB29" i="89"/>
  <c r="BB28" i="89"/>
  <c r="BB27" i="89"/>
  <c r="BB26" i="89"/>
  <c r="BB25" i="89"/>
  <c r="BB24" i="89"/>
  <c r="BB21" i="89"/>
  <c r="BB20" i="89"/>
  <c r="BB23" i="89" s="1"/>
  <c r="BB19" i="89"/>
  <c r="BB17" i="89"/>
  <c r="BB14" i="89"/>
  <c r="BB13" i="89"/>
  <c r="BB12" i="89"/>
  <c r="BB10" i="89"/>
  <c r="BB9" i="89"/>
  <c r="BB8" i="89"/>
  <c r="BB7" i="89"/>
  <c r="BB6" i="89"/>
  <c r="BB85" i="89" l="1"/>
  <c r="I63" i="89"/>
  <c r="I93" i="89" s="1"/>
  <c r="O63" i="89"/>
  <c r="O93" i="89" s="1"/>
  <c r="AA63" i="89"/>
  <c r="AA93" i="89" s="1"/>
  <c r="AP63" i="89"/>
  <c r="AP93" i="89" s="1"/>
  <c r="AV63" i="89"/>
  <c r="AV93" i="89" s="1"/>
  <c r="BB50" i="89"/>
  <c r="F63" i="89"/>
  <c r="F93" i="89" s="1"/>
  <c r="R63" i="89"/>
  <c r="R93" i="89" s="1"/>
  <c r="AG63" i="89"/>
  <c r="AM63" i="89"/>
  <c r="AM93" i="89" s="1"/>
  <c r="AS63" i="89"/>
  <c r="AS93" i="89" s="1"/>
  <c r="AY63" i="89"/>
  <c r="AY93" i="89" s="1"/>
  <c r="AG93" i="89"/>
  <c r="AM85" i="87"/>
  <c r="G85" i="87"/>
  <c r="BK56" i="87"/>
  <c r="AJ63" i="89"/>
  <c r="AJ93" i="89" s="1"/>
  <c r="X63" i="89"/>
  <c r="X93" i="89" s="1"/>
  <c r="U63" i="89"/>
  <c r="U93" i="89" s="1"/>
  <c r="L63" i="89"/>
  <c r="L93" i="89" s="1"/>
  <c r="BB18" i="89"/>
  <c r="BB44" i="89"/>
  <c r="BB37" i="89"/>
  <c r="BB69" i="89"/>
  <c r="BB92" i="89"/>
  <c r="BB30" i="89"/>
  <c r="BB11" i="89"/>
  <c r="BB60" i="89"/>
  <c r="H91" i="77"/>
  <c r="P55" i="70"/>
  <c r="O55" i="70"/>
  <c r="N55" i="70"/>
  <c r="K54" i="70"/>
  <c r="K56" i="70" s="1"/>
  <c r="P49" i="70"/>
  <c r="H73" i="70"/>
  <c r="G73" i="70"/>
  <c r="F73" i="70"/>
  <c r="E73" i="70"/>
  <c r="D73" i="70"/>
  <c r="C73" i="70"/>
  <c r="F59" i="70"/>
  <c r="E59" i="70"/>
  <c r="D59" i="70"/>
  <c r="C59" i="70"/>
  <c r="H58" i="70"/>
  <c r="H59" i="70" s="1"/>
  <c r="G58" i="70"/>
  <c r="G59" i="70" s="1"/>
  <c r="F56" i="70"/>
  <c r="E56" i="70"/>
  <c r="D56" i="70"/>
  <c r="C56" i="70"/>
  <c r="G55" i="70"/>
  <c r="H55" i="70"/>
  <c r="H54" i="70"/>
  <c r="BK85" i="87" l="1"/>
  <c r="BB93" i="89"/>
  <c r="BB63" i="89"/>
  <c r="H56" i="70"/>
  <c r="H29" i="67"/>
  <c r="G36" i="67"/>
  <c r="F91" i="77"/>
  <c r="E91" i="77"/>
  <c r="C84" i="77"/>
  <c r="D84" i="77"/>
  <c r="E84" i="77"/>
  <c r="F84" i="77"/>
  <c r="H84" i="77"/>
  <c r="G50" i="65"/>
  <c r="H40" i="61" l="1"/>
  <c r="H29" i="61"/>
  <c r="H23" i="61"/>
  <c r="H17" i="61"/>
  <c r="G43" i="67"/>
  <c r="D96" i="77" l="1"/>
  <c r="E96" i="77"/>
  <c r="F96" i="77"/>
  <c r="H96" i="77"/>
  <c r="G96" i="77"/>
  <c r="G97" i="77"/>
  <c r="G91" i="77"/>
  <c r="G81" i="77"/>
  <c r="G84" i="77" s="1"/>
  <c r="C77" i="65"/>
  <c r="D77" i="65"/>
  <c r="E77" i="65"/>
  <c r="F77" i="65"/>
  <c r="H77" i="65"/>
  <c r="G77" i="65"/>
  <c r="G76" i="77"/>
  <c r="G29" i="67" s="1"/>
  <c r="G75" i="77"/>
  <c r="G73" i="77"/>
  <c r="G72" i="77"/>
  <c r="G71" i="77"/>
  <c r="G98" i="65"/>
  <c r="O54" i="70" s="1"/>
  <c r="O56" i="70" s="1"/>
  <c r="G49" i="65"/>
  <c r="G48" i="65"/>
  <c r="G54" i="70" l="1"/>
  <c r="G56" i="70" s="1"/>
  <c r="G56" i="65"/>
  <c r="G53" i="65"/>
  <c r="G58" i="65"/>
  <c r="F48" i="65"/>
  <c r="G9" i="61"/>
  <c r="H36" i="67"/>
  <c r="G26" i="67"/>
  <c r="G90" i="65"/>
  <c r="G24" i="65"/>
  <c r="G18" i="77"/>
  <c r="H43" i="67"/>
  <c r="F25" i="61"/>
  <c r="H25" i="61" s="1"/>
  <c r="F37" i="61"/>
  <c r="H37" i="61" s="1"/>
  <c r="F36" i="61"/>
  <c r="H36" i="61" s="1"/>
  <c r="F35" i="61"/>
  <c r="H35" i="61" s="1"/>
  <c r="F34" i="61"/>
  <c r="H34" i="61" s="1"/>
  <c r="F33" i="61"/>
  <c r="H33" i="61" s="1"/>
  <c r="F32" i="61"/>
  <c r="H32" i="61" s="1"/>
  <c r="F31" i="61"/>
  <c r="H31" i="61" s="1"/>
  <c r="F30" i="61"/>
  <c r="H30" i="61" s="1"/>
  <c r="F28" i="61"/>
  <c r="H28" i="61" s="1"/>
  <c r="F27" i="61"/>
  <c r="H27" i="61" s="1"/>
  <c r="F26" i="61"/>
  <c r="H26" i="61" s="1"/>
  <c r="F22" i="61"/>
  <c r="H22" i="61" s="1"/>
  <c r="F21" i="61"/>
  <c r="H21" i="61" s="1"/>
  <c r="F20" i="61"/>
  <c r="H20" i="61" s="1"/>
  <c r="F19" i="61"/>
  <c r="H19" i="61" s="1"/>
  <c r="F18" i="61"/>
  <c r="H18" i="61" s="1"/>
  <c r="F16" i="61"/>
  <c r="H16" i="61" s="1"/>
  <c r="F15" i="61"/>
  <c r="H15" i="61" s="1"/>
  <c r="F14" i="61"/>
  <c r="H14" i="61" s="1"/>
  <c r="F13" i="61"/>
  <c r="H13" i="61" s="1"/>
  <c r="F12" i="61"/>
  <c r="H12" i="61" s="1"/>
  <c r="F11" i="61"/>
  <c r="H11" i="61" s="1"/>
  <c r="F10" i="61"/>
  <c r="H10" i="61" s="1"/>
  <c r="F24" i="61"/>
  <c r="H24" i="61" s="1"/>
  <c r="F77" i="61"/>
  <c r="F39" i="61"/>
  <c r="H39" i="61" s="1"/>
  <c r="F38" i="61"/>
  <c r="H38" i="61" s="1"/>
  <c r="G25" i="65"/>
  <c r="G15" i="65"/>
  <c r="G12" i="65"/>
  <c r="G34" i="77" l="1"/>
  <c r="G33" i="77"/>
  <c r="G28" i="77"/>
  <c r="G27" i="77"/>
  <c r="G19" i="77"/>
  <c r="G17" i="77"/>
  <c r="G15" i="77"/>
  <c r="G13" i="77"/>
  <c r="G11" i="67" s="1"/>
  <c r="G12" i="77"/>
  <c r="G10" i="67" s="1"/>
  <c r="G11" i="77"/>
  <c r="G9" i="67" s="1"/>
  <c r="G10" i="77"/>
  <c r="G8" i="67" s="1"/>
  <c r="G9" i="77"/>
  <c r="G7" i="67" s="1"/>
  <c r="G8" i="77"/>
  <c r="G6" i="67" s="1"/>
  <c r="C29" i="77"/>
  <c r="D29" i="77"/>
  <c r="E29" i="77"/>
  <c r="F29" i="77"/>
  <c r="H19" i="77"/>
  <c r="H29" i="77" s="1"/>
  <c r="D74" i="77"/>
  <c r="D79" i="77" s="1"/>
  <c r="E74" i="77"/>
  <c r="E79" i="77" s="1"/>
  <c r="F74" i="77"/>
  <c r="F79" i="77" s="1"/>
  <c r="G74" i="77"/>
  <c r="H74" i="77"/>
  <c r="H79" i="77" s="1"/>
  <c r="C39" i="65"/>
  <c r="D39" i="65"/>
  <c r="E39" i="65"/>
  <c r="F39" i="65"/>
  <c r="H39" i="65"/>
  <c r="H11" i="65"/>
  <c r="H17" i="65"/>
  <c r="G79" i="77" l="1"/>
  <c r="G29" i="77"/>
  <c r="G106" i="65"/>
  <c r="G103" i="65"/>
  <c r="G100" i="65"/>
  <c r="G95" i="65"/>
  <c r="G92" i="65"/>
  <c r="G88" i="65"/>
  <c r="G85" i="65"/>
  <c r="O49" i="70" s="1"/>
  <c r="G57" i="65"/>
  <c r="G54" i="65"/>
  <c r="G51" i="65"/>
  <c r="G42" i="65"/>
  <c r="G39" i="65"/>
  <c r="G56" i="67" l="1"/>
  <c r="G59" i="65"/>
  <c r="H77" i="61"/>
  <c r="H76" i="61"/>
  <c r="H74" i="61"/>
  <c r="H73" i="61"/>
  <c r="H72" i="61"/>
  <c r="G79" i="61"/>
  <c r="H44" i="61"/>
  <c r="H43" i="61"/>
  <c r="H66" i="61"/>
  <c r="G58" i="61"/>
  <c r="G68" i="61" s="1"/>
  <c r="G52" i="61"/>
  <c r="G56" i="61" s="1"/>
  <c r="G45" i="61"/>
  <c r="H98" i="65" s="1"/>
  <c r="P54" i="70" s="1"/>
  <c r="P56" i="70" s="1"/>
  <c r="F75" i="61"/>
  <c r="H75" i="61" s="1"/>
  <c r="F72" i="61"/>
  <c r="F68" i="61"/>
  <c r="F56" i="61"/>
  <c r="F45" i="61"/>
  <c r="F41" i="61"/>
  <c r="G83" i="65" s="1"/>
  <c r="E75" i="61"/>
  <c r="E72" i="61"/>
  <c r="E58" i="61"/>
  <c r="E41" i="61"/>
  <c r="F79" i="61" l="1"/>
  <c r="G84" i="65" s="1"/>
  <c r="G96" i="65" s="1"/>
  <c r="G107" i="65" s="1"/>
  <c r="F69" i="61"/>
  <c r="C79" i="61"/>
  <c r="E79" i="61"/>
  <c r="G41" i="61"/>
  <c r="G69" i="61" s="1"/>
  <c r="G80" i="61" s="1"/>
  <c r="F80" i="61" l="1"/>
  <c r="H67" i="61"/>
  <c r="H65" i="61"/>
  <c r="H64" i="61"/>
  <c r="H63" i="61"/>
  <c r="H62" i="61"/>
  <c r="H61" i="61"/>
  <c r="H60" i="61"/>
  <c r="H59" i="61"/>
  <c r="H58" i="61"/>
  <c r="H57" i="61"/>
  <c r="H55" i="61"/>
  <c r="H54" i="61"/>
  <c r="H53" i="61"/>
  <c r="H52" i="61"/>
  <c r="H51" i="61"/>
  <c r="H50" i="61"/>
  <c r="H49" i="61"/>
  <c r="H48" i="61"/>
  <c r="H47" i="61"/>
  <c r="H46" i="61"/>
  <c r="H42" i="61"/>
  <c r="H9" i="61"/>
  <c r="H41" i="61" s="1"/>
  <c r="H79" i="61" l="1"/>
  <c r="G10" i="59" l="1"/>
  <c r="H10" i="59"/>
  <c r="I10" i="59"/>
  <c r="J10" i="59"/>
  <c r="K10" i="59"/>
  <c r="L10" i="59"/>
  <c r="M10" i="59"/>
  <c r="N10" i="59"/>
  <c r="O10" i="59"/>
  <c r="F10" i="59"/>
  <c r="P9" i="59"/>
  <c r="E10" i="59"/>
  <c r="P8" i="59"/>
  <c r="P6" i="59"/>
  <c r="P5" i="59"/>
  <c r="AI28" i="87" l="1"/>
  <c r="U35" i="87"/>
  <c r="L52" i="87" l="1"/>
  <c r="L53" i="87" s="1"/>
  <c r="L44" i="87"/>
  <c r="L9" i="87"/>
  <c r="L6" i="87"/>
  <c r="I73" i="87"/>
  <c r="F21" i="79" l="1"/>
  <c r="F6" i="65"/>
  <c r="G6" i="65" s="1"/>
  <c r="F5" i="65"/>
  <c r="G5" i="65" s="1"/>
  <c r="G8" i="65" s="1"/>
  <c r="C41" i="61"/>
  <c r="C100" i="65" l="1"/>
  <c r="F112" i="65" l="1"/>
  <c r="G112" i="65" s="1"/>
  <c r="G113" i="65" s="1"/>
  <c r="F85" i="65"/>
  <c r="N49" i="70" s="1"/>
  <c r="F7" i="65"/>
  <c r="F43" i="67"/>
  <c r="E43" i="67"/>
  <c r="D43" i="67"/>
  <c r="F72" i="65"/>
  <c r="F71" i="65"/>
  <c r="G71" i="65" s="1"/>
  <c r="F11" i="65"/>
  <c r="F9" i="65"/>
  <c r="F17" i="65"/>
  <c r="G17" i="65" s="1"/>
  <c r="F16" i="65"/>
  <c r="G16" i="65" s="1"/>
  <c r="G19" i="65" s="1"/>
  <c r="P66" i="70"/>
  <c r="P73" i="70" s="1"/>
  <c r="O66" i="70"/>
  <c r="O73" i="70" s="1"/>
  <c r="N66" i="70"/>
  <c r="N73" i="70" s="1"/>
  <c r="P33" i="70"/>
  <c r="O33" i="70"/>
  <c r="N33" i="70"/>
  <c r="P32" i="70"/>
  <c r="O32" i="70"/>
  <c r="N32" i="70"/>
  <c r="P27" i="70"/>
  <c r="O27" i="70"/>
  <c r="N27" i="70"/>
  <c r="P21" i="70"/>
  <c r="O21" i="70"/>
  <c r="N21" i="70"/>
  <c r="P17" i="70"/>
  <c r="O17" i="70"/>
  <c r="N17" i="70"/>
  <c r="P11" i="70"/>
  <c r="P10" i="70"/>
  <c r="O10" i="70"/>
  <c r="N10" i="70"/>
  <c r="P6" i="70"/>
  <c r="H61" i="70"/>
  <c r="H62" i="70" s="1"/>
  <c r="H50" i="70"/>
  <c r="G50" i="70"/>
  <c r="F50" i="70"/>
  <c r="H49" i="70"/>
  <c r="G49" i="70"/>
  <c r="F49" i="70"/>
  <c r="H40" i="70"/>
  <c r="G40" i="70"/>
  <c r="F40" i="70"/>
  <c r="H38" i="70"/>
  <c r="G38" i="70"/>
  <c r="F38" i="70"/>
  <c r="H36" i="70"/>
  <c r="G36" i="70"/>
  <c r="F36" i="70"/>
  <c r="H34" i="70"/>
  <c r="G34" i="70"/>
  <c r="F34" i="70"/>
  <c r="H33" i="70"/>
  <c r="G33" i="70"/>
  <c r="F33" i="70"/>
  <c r="H32" i="70"/>
  <c r="G32" i="70"/>
  <c r="F32" i="70"/>
  <c r="F26" i="70"/>
  <c r="H25" i="70"/>
  <c r="G25" i="70"/>
  <c r="F25" i="70"/>
  <c r="H20" i="70"/>
  <c r="H23" i="70" s="1"/>
  <c r="G20" i="70"/>
  <c r="G23" i="70" s="1"/>
  <c r="F20" i="70"/>
  <c r="F23" i="70" s="1"/>
  <c r="H15" i="70"/>
  <c r="G15" i="70"/>
  <c r="F15" i="70"/>
  <c r="G14" i="70"/>
  <c r="F14" i="70"/>
  <c r="H9" i="70"/>
  <c r="G9" i="70"/>
  <c r="F9" i="70"/>
  <c r="H7" i="70"/>
  <c r="G7" i="70"/>
  <c r="H62" i="67"/>
  <c r="G62" i="67"/>
  <c r="F62" i="67"/>
  <c r="E62" i="67"/>
  <c r="H61" i="67"/>
  <c r="G61" i="67"/>
  <c r="F61" i="67"/>
  <c r="E61" i="67"/>
  <c r="H60" i="67"/>
  <c r="H63" i="67" s="1"/>
  <c r="G60" i="67"/>
  <c r="G63" i="67" s="1"/>
  <c r="F60" i="67"/>
  <c r="F63" i="67" s="1"/>
  <c r="E60" i="67"/>
  <c r="E63" i="67" s="1"/>
  <c r="H52" i="67"/>
  <c r="E52" i="67"/>
  <c r="H50" i="67"/>
  <c r="E50" i="67"/>
  <c r="G49" i="67"/>
  <c r="H48" i="67"/>
  <c r="H47" i="67"/>
  <c r="H42" i="67"/>
  <c r="G42" i="67"/>
  <c r="F42" i="67"/>
  <c r="E42" i="67"/>
  <c r="H41" i="67"/>
  <c r="H44" i="67" s="1"/>
  <c r="G41" i="67"/>
  <c r="F41" i="67"/>
  <c r="E41" i="67"/>
  <c r="H37" i="67"/>
  <c r="G37" i="67"/>
  <c r="F37" i="67"/>
  <c r="E37" i="67"/>
  <c r="F36" i="67"/>
  <c r="E36" i="67"/>
  <c r="H32" i="67"/>
  <c r="H34" i="67" s="1"/>
  <c r="G32" i="67"/>
  <c r="G34" i="67" s="1"/>
  <c r="F32" i="67"/>
  <c r="F34" i="67" s="1"/>
  <c r="E32" i="67"/>
  <c r="E34" i="67" s="1"/>
  <c r="E26" i="67"/>
  <c r="H24" i="67"/>
  <c r="G24" i="67"/>
  <c r="F24" i="67"/>
  <c r="E24" i="67"/>
  <c r="H23" i="67"/>
  <c r="G23" i="67"/>
  <c r="F23" i="67"/>
  <c r="E23" i="67"/>
  <c r="H22" i="67"/>
  <c r="G22" i="67"/>
  <c r="F22" i="67"/>
  <c r="E22" i="67"/>
  <c r="H21" i="67"/>
  <c r="G21" i="67"/>
  <c r="F21" i="67"/>
  <c r="E21" i="67"/>
  <c r="H20" i="67"/>
  <c r="H25" i="67" s="1"/>
  <c r="G20" i="67"/>
  <c r="F20" i="67"/>
  <c r="F25" i="67" s="1"/>
  <c r="E20" i="67"/>
  <c r="E25" i="67" s="1"/>
  <c r="F13" i="67"/>
  <c r="E13" i="67"/>
  <c r="H12" i="67"/>
  <c r="G12" i="67"/>
  <c r="F12" i="67"/>
  <c r="E12" i="67"/>
  <c r="H11" i="67"/>
  <c r="F11" i="67"/>
  <c r="H10" i="67"/>
  <c r="F10" i="67"/>
  <c r="E10" i="67"/>
  <c r="H9" i="67"/>
  <c r="F9" i="67"/>
  <c r="E9" i="67"/>
  <c r="H8" i="67"/>
  <c r="F8" i="67"/>
  <c r="E8" i="67"/>
  <c r="H7" i="67"/>
  <c r="F7" i="67"/>
  <c r="H6" i="67"/>
  <c r="F6" i="67"/>
  <c r="F61" i="70"/>
  <c r="F62" i="70" s="1"/>
  <c r="F51" i="77"/>
  <c r="F7" i="70" s="1"/>
  <c r="E11" i="67"/>
  <c r="F50" i="67" l="1"/>
  <c r="G9" i="65"/>
  <c r="F26" i="67"/>
  <c r="E44" i="67"/>
  <c r="F38" i="67"/>
  <c r="E38" i="67"/>
  <c r="G25" i="67"/>
  <c r="G38" i="67"/>
  <c r="G18" i="70"/>
  <c r="H38" i="67"/>
  <c r="F18" i="70"/>
  <c r="H41" i="70"/>
  <c r="F44" i="67"/>
  <c r="F28" i="70"/>
  <c r="F14" i="67"/>
  <c r="G41" i="70"/>
  <c r="F41" i="70"/>
  <c r="N6" i="70"/>
  <c r="O41" i="70"/>
  <c r="N41" i="70"/>
  <c r="P41" i="70"/>
  <c r="H22" i="79"/>
  <c r="G22" i="79"/>
  <c r="F22" i="79"/>
  <c r="H18" i="79"/>
  <c r="G18" i="79"/>
  <c r="F18" i="79"/>
  <c r="H14" i="79"/>
  <c r="G14" i="79"/>
  <c r="F14" i="79"/>
  <c r="H11" i="79"/>
  <c r="G11" i="79"/>
  <c r="F11" i="79"/>
  <c r="H8" i="79"/>
  <c r="G8" i="79"/>
  <c r="F8" i="79"/>
  <c r="H113" i="65"/>
  <c r="F113" i="65"/>
  <c r="H95" i="65"/>
  <c r="P51" i="70" s="1"/>
  <c r="O51" i="70"/>
  <c r="F95" i="65"/>
  <c r="H92" i="65"/>
  <c r="F92" i="65"/>
  <c r="H88" i="65"/>
  <c r="F88" i="65"/>
  <c r="P26" i="70"/>
  <c r="O26" i="70"/>
  <c r="N26" i="70"/>
  <c r="H57" i="65"/>
  <c r="P16" i="70" s="1"/>
  <c r="O16" i="70"/>
  <c r="F57" i="65"/>
  <c r="N16" i="70" s="1"/>
  <c r="H54" i="65"/>
  <c r="P15" i="70" s="1"/>
  <c r="O15" i="70"/>
  <c r="F54" i="65"/>
  <c r="N15" i="70" s="1"/>
  <c r="H42" i="65"/>
  <c r="P9" i="70" s="1"/>
  <c r="O9" i="70"/>
  <c r="F42" i="65"/>
  <c r="N9" i="70" s="1"/>
  <c r="P8" i="70"/>
  <c r="O8" i="70"/>
  <c r="N8" i="70"/>
  <c r="H19" i="65"/>
  <c r="F19" i="65"/>
  <c r="H8" i="65"/>
  <c r="P5" i="70" s="1"/>
  <c r="O5" i="70"/>
  <c r="F8" i="65"/>
  <c r="N5" i="70" s="1"/>
  <c r="F99" i="77"/>
  <c r="G61" i="70"/>
  <c r="G62" i="70" s="1"/>
  <c r="H26" i="70"/>
  <c r="H28" i="70" s="1"/>
  <c r="G13" i="67"/>
  <c r="H61" i="77"/>
  <c r="G61" i="77"/>
  <c r="F61" i="77"/>
  <c r="H57" i="77"/>
  <c r="G57" i="77"/>
  <c r="F57" i="77"/>
  <c r="H54" i="77"/>
  <c r="H28" i="67" s="1"/>
  <c r="G54" i="77"/>
  <c r="F54" i="77"/>
  <c r="H50" i="77"/>
  <c r="H6" i="70" s="1"/>
  <c r="G50" i="77"/>
  <c r="G6" i="70" s="1"/>
  <c r="F50" i="77"/>
  <c r="F6" i="70" s="1"/>
  <c r="H41" i="77"/>
  <c r="H17" i="67" s="1"/>
  <c r="G41" i="77"/>
  <c r="G17" i="67" s="1"/>
  <c r="F41" i="77"/>
  <c r="F17" i="67" s="1"/>
  <c r="F35" i="77"/>
  <c r="G23" i="79" l="1"/>
  <c r="H23" i="79"/>
  <c r="F23" i="79"/>
  <c r="H56" i="67"/>
  <c r="G50" i="67"/>
  <c r="O6" i="70"/>
  <c r="H51" i="67"/>
  <c r="F28" i="67"/>
  <c r="F30" i="67" s="1"/>
  <c r="F48" i="70"/>
  <c r="F42" i="77"/>
  <c r="F47" i="70" s="1"/>
  <c r="F16" i="67"/>
  <c r="F18" i="67" s="1"/>
  <c r="G99" i="77"/>
  <c r="G44" i="67" s="1"/>
  <c r="G14" i="67"/>
  <c r="G26" i="70"/>
  <c r="G28" i="70" s="1"/>
  <c r="G48" i="70"/>
  <c r="G28" i="67"/>
  <c r="G30" i="67" s="1"/>
  <c r="H30" i="67"/>
  <c r="H48" i="70"/>
  <c r="H13" i="67"/>
  <c r="H14" i="67" s="1"/>
  <c r="H14" i="70"/>
  <c r="H18" i="70" s="1"/>
  <c r="F56" i="67"/>
  <c r="N50" i="70"/>
  <c r="H68" i="61"/>
  <c r="H56" i="61"/>
  <c r="N54" i="70"/>
  <c r="N56" i="70" s="1"/>
  <c r="H45" i="61"/>
  <c r="O47" i="70"/>
  <c r="O48" i="70"/>
  <c r="G55" i="67"/>
  <c r="N7" i="70"/>
  <c r="P50" i="70"/>
  <c r="O50" i="70"/>
  <c r="O7" i="70"/>
  <c r="P7" i="70"/>
  <c r="P12" i="70" s="1"/>
  <c r="H53" i="67"/>
  <c r="H45" i="65"/>
  <c r="H35" i="77"/>
  <c r="H99" i="77"/>
  <c r="G14" i="77"/>
  <c r="G30" i="77" s="1"/>
  <c r="G5" i="70" s="1"/>
  <c r="G12" i="70" s="1"/>
  <c r="F14" i="77"/>
  <c r="F30" i="77" s="1"/>
  <c r="H14" i="77"/>
  <c r="H30" i="77" s="1"/>
  <c r="H5" i="70" s="1"/>
  <c r="H12" i="70" s="1"/>
  <c r="G35" i="77"/>
  <c r="H73" i="65"/>
  <c r="H65" i="65"/>
  <c r="F39" i="67" l="1"/>
  <c r="F45" i="67" s="1"/>
  <c r="F52" i="70"/>
  <c r="F63" i="70" s="1"/>
  <c r="F74" i="70" s="1"/>
  <c r="G29" i="70"/>
  <c r="G42" i="70" s="1"/>
  <c r="F62" i="77"/>
  <c r="F68" i="77" s="1"/>
  <c r="F100" i="77" s="1"/>
  <c r="F5" i="70"/>
  <c r="F12" i="70" s="1"/>
  <c r="F29" i="70" s="1"/>
  <c r="F42" i="70" s="1"/>
  <c r="H29" i="70"/>
  <c r="H42" i="70" s="1"/>
  <c r="H42" i="77"/>
  <c r="H47" i="70" s="1"/>
  <c r="H52" i="70" s="1"/>
  <c r="H16" i="67"/>
  <c r="H18" i="67" s="1"/>
  <c r="H39" i="67" s="1"/>
  <c r="H45" i="67" s="1"/>
  <c r="G42" i="77"/>
  <c r="G47" i="70" s="1"/>
  <c r="G52" i="70" s="1"/>
  <c r="G16" i="67"/>
  <c r="G18" i="67" s="1"/>
  <c r="G39" i="67" s="1"/>
  <c r="G45" i="67" s="1"/>
  <c r="O52" i="70"/>
  <c r="H79" i="65"/>
  <c r="P25" i="70"/>
  <c r="P28" i="70" s="1"/>
  <c r="H67" i="65"/>
  <c r="P20" i="70"/>
  <c r="P23" i="70" s="1"/>
  <c r="H51" i="65"/>
  <c r="F75" i="70" l="1"/>
  <c r="G63" i="70"/>
  <c r="G74" i="70" s="1"/>
  <c r="G75" i="70" s="1"/>
  <c r="H63" i="70"/>
  <c r="H74" i="70" s="1"/>
  <c r="H75" i="70" s="1"/>
  <c r="H62" i="77"/>
  <c r="H68" i="77" s="1"/>
  <c r="H100" i="77" s="1"/>
  <c r="G62" i="77"/>
  <c r="G68" i="77" s="1"/>
  <c r="G100" i="77" s="1"/>
  <c r="H59" i="65"/>
  <c r="H80" i="65" s="1"/>
  <c r="P14" i="70"/>
  <c r="P18" i="70" s="1"/>
  <c r="P29" i="70" s="1"/>
  <c r="P42" i="70" s="1"/>
  <c r="O14" i="70"/>
  <c r="O18" i="70" s="1"/>
  <c r="G45" i="65" l="1"/>
  <c r="O11" i="70"/>
  <c r="O12" i="70" s="1"/>
  <c r="N11" i="70"/>
  <c r="N12" i="70" s="1"/>
  <c r="F45" i="65"/>
  <c r="E68" i="61"/>
  <c r="N61" i="70" s="1"/>
  <c r="E56" i="61"/>
  <c r="E45" i="61"/>
  <c r="H84" i="65" l="1"/>
  <c r="P48" i="70" s="1"/>
  <c r="E69" i="61"/>
  <c r="O61" i="70"/>
  <c r="O62" i="70" s="1"/>
  <c r="H69" i="61"/>
  <c r="H83" i="65"/>
  <c r="G54" i="67"/>
  <c r="G57" i="67" s="1"/>
  <c r="N48" i="70"/>
  <c r="F55" i="67"/>
  <c r="F100" i="65"/>
  <c r="N58" i="70"/>
  <c r="N59" i="70" s="1"/>
  <c r="F103" i="65"/>
  <c r="N62" i="70"/>
  <c r="F106" i="65"/>
  <c r="O58" i="70"/>
  <c r="O59" i="70" s="1"/>
  <c r="BJ82" i="87"/>
  <c r="BI82" i="87"/>
  <c r="BA90" i="89"/>
  <c r="AZ90" i="89"/>
  <c r="C91" i="77"/>
  <c r="D91" i="77"/>
  <c r="H55" i="67" l="1"/>
  <c r="E80" i="61"/>
  <c r="F54" i="67"/>
  <c r="F57" i="67" s="1"/>
  <c r="H80" i="61"/>
  <c r="P47" i="70"/>
  <c r="P52" i="70" s="1"/>
  <c r="H96" i="65"/>
  <c r="F96" i="65"/>
  <c r="F107" i="65" s="1"/>
  <c r="N47" i="70"/>
  <c r="N52" i="70" s="1"/>
  <c r="N63" i="70" s="1"/>
  <c r="N74" i="70" s="1"/>
  <c r="O63" i="70"/>
  <c r="O74" i="70" s="1"/>
  <c r="D42" i="67"/>
  <c r="AL17" i="87"/>
  <c r="AK77" i="87"/>
  <c r="AK63" i="87"/>
  <c r="AK45" i="87"/>
  <c r="AK39" i="87"/>
  <c r="AK33" i="87"/>
  <c r="AK20" i="87"/>
  <c r="AK13" i="87"/>
  <c r="AH77" i="87"/>
  <c r="AH63" i="87"/>
  <c r="AH45" i="87"/>
  <c r="AH39" i="87"/>
  <c r="AH33" i="87"/>
  <c r="AH20" i="87"/>
  <c r="AH13" i="87"/>
  <c r="T77" i="87"/>
  <c r="T63" i="87"/>
  <c r="T45" i="87"/>
  <c r="T39" i="87"/>
  <c r="T33" i="87"/>
  <c r="T20" i="87"/>
  <c r="T13" i="87"/>
  <c r="K77" i="87"/>
  <c r="K59" i="87"/>
  <c r="K63" i="87" s="1"/>
  <c r="K45" i="87"/>
  <c r="K39" i="87"/>
  <c r="K33" i="87"/>
  <c r="K20" i="87"/>
  <c r="K13" i="87"/>
  <c r="H77" i="87"/>
  <c r="H59" i="87"/>
  <c r="H63" i="87" s="1"/>
  <c r="H45" i="87"/>
  <c r="H39" i="87"/>
  <c r="H33" i="87"/>
  <c r="H20" i="87"/>
  <c r="H13" i="87"/>
  <c r="E77" i="87"/>
  <c r="E59" i="87"/>
  <c r="E63" i="87" s="1"/>
  <c r="E45" i="87"/>
  <c r="E39" i="87"/>
  <c r="E33" i="87"/>
  <c r="E20" i="87"/>
  <c r="E13" i="87"/>
  <c r="BA67" i="89"/>
  <c r="AZ67" i="89"/>
  <c r="K13" i="89"/>
  <c r="S92" i="89"/>
  <c r="S85" i="89"/>
  <c r="S69" i="89"/>
  <c r="S60" i="89"/>
  <c r="S50" i="89"/>
  <c r="S44" i="89"/>
  <c r="S37" i="89"/>
  <c r="S30" i="89"/>
  <c r="S18" i="89"/>
  <c r="S11" i="89"/>
  <c r="D92" i="89"/>
  <c r="D85" i="89"/>
  <c r="D69" i="89"/>
  <c r="D60" i="89"/>
  <c r="D50" i="89"/>
  <c r="D44" i="89"/>
  <c r="D37" i="89"/>
  <c r="D30" i="89"/>
  <c r="D18" i="89"/>
  <c r="D11" i="89"/>
  <c r="S63" i="89" l="1"/>
  <c r="S93" i="89" s="1"/>
  <c r="D63" i="89"/>
  <c r="D93" i="89" s="1"/>
  <c r="K56" i="87"/>
  <c r="K85" i="87" s="1"/>
  <c r="E56" i="87"/>
  <c r="E85" i="87" s="1"/>
  <c r="T56" i="87"/>
  <c r="T85" i="87" s="1"/>
  <c r="AK56" i="87"/>
  <c r="AK85" i="87" s="1"/>
  <c r="H56" i="87"/>
  <c r="H85" i="87" s="1"/>
  <c r="AH56" i="87"/>
  <c r="AH85" i="87" s="1"/>
  <c r="M66" i="70"/>
  <c r="L66" i="70"/>
  <c r="K66" i="70"/>
  <c r="K61" i="70"/>
  <c r="K58" i="70"/>
  <c r="K48" i="70"/>
  <c r="K47" i="70"/>
  <c r="M33" i="70"/>
  <c r="L33" i="70"/>
  <c r="K33" i="70"/>
  <c r="M32" i="70"/>
  <c r="L32" i="70"/>
  <c r="K32" i="70"/>
  <c r="M27" i="70"/>
  <c r="L27" i="70"/>
  <c r="K27" i="70"/>
  <c r="M21" i="70"/>
  <c r="L21" i="70"/>
  <c r="K21" i="70"/>
  <c r="M17" i="70"/>
  <c r="L17" i="70"/>
  <c r="K17" i="70"/>
  <c r="M11" i="70"/>
  <c r="K11" i="70"/>
  <c r="M10" i="70"/>
  <c r="L10" i="70"/>
  <c r="K10" i="70"/>
  <c r="M6" i="70"/>
  <c r="L6" i="70"/>
  <c r="K6" i="70"/>
  <c r="E70" i="65"/>
  <c r="F70" i="65" s="1"/>
  <c r="F73" i="65" l="1"/>
  <c r="N25" i="70" s="1"/>
  <c r="N28" i="70" s="1"/>
  <c r="G70" i="65"/>
  <c r="C55" i="67"/>
  <c r="C54" i="67"/>
  <c r="C52" i="67"/>
  <c r="D50" i="67"/>
  <c r="C50" i="67"/>
  <c r="D49" i="67"/>
  <c r="C49" i="67"/>
  <c r="D48" i="67"/>
  <c r="C48" i="67"/>
  <c r="D47" i="67"/>
  <c r="C47" i="67"/>
  <c r="D62" i="67"/>
  <c r="C62" i="67"/>
  <c r="D61" i="67"/>
  <c r="C61" i="67"/>
  <c r="D60" i="67"/>
  <c r="C60" i="67"/>
  <c r="D75" i="61"/>
  <c r="D79" i="61" s="1"/>
  <c r="E84" i="65" s="1"/>
  <c r="D68" i="61"/>
  <c r="E105" i="65" s="1"/>
  <c r="D14" i="61"/>
  <c r="D18" i="61"/>
  <c r="D23" i="61"/>
  <c r="C106" i="65"/>
  <c r="C103" i="65"/>
  <c r="E113" i="65"/>
  <c r="D113" i="65"/>
  <c r="C113" i="65"/>
  <c r="M26" i="70"/>
  <c r="L26" i="70"/>
  <c r="K26" i="70"/>
  <c r="D73" i="65"/>
  <c r="L25" i="70" s="1"/>
  <c r="C73" i="65"/>
  <c r="K25" i="70" s="1"/>
  <c r="E64" i="65"/>
  <c r="F64" i="65" s="1"/>
  <c r="E63" i="65"/>
  <c r="F63" i="65" s="1"/>
  <c r="G63" i="65" s="1"/>
  <c r="E62" i="65"/>
  <c r="F62" i="65" s="1"/>
  <c r="E50" i="65"/>
  <c r="F50" i="65" s="1"/>
  <c r="E49" i="65"/>
  <c r="E48" i="65"/>
  <c r="D65" i="65"/>
  <c r="C65" i="65"/>
  <c r="E57" i="65"/>
  <c r="M16" i="70" s="1"/>
  <c r="D57" i="65"/>
  <c r="L16" i="70" s="1"/>
  <c r="C57" i="65"/>
  <c r="K16" i="70" s="1"/>
  <c r="E54" i="65"/>
  <c r="M15" i="70" s="1"/>
  <c r="D54" i="65"/>
  <c r="L15" i="70" s="1"/>
  <c r="C54" i="65"/>
  <c r="K15" i="70" s="1"/>
  <c r="D51" i="65"/>
  <c r="L14" i="70" s="1"/>
  <c r="C51" i="65"/>
  <c r="K14" i="70" s="1"/>
  <c r="M8" i="70"/>
  <c r="E8" i="65"/>
  <c r="M5" i="70" s="1"/>
  <c r="D8" i="65"/>
  <c r="L5" i="70" s="1"/>
  <c r="C8" i="65"/>
  <c r="K5" i="70" s="1"/>
  <c r="E50" i="70"/>
  <c r="D50" i="70"/>
  <c r="C50" i="70"/>
  <c r="E49" i="70"/>
  <c r="D49" i="70"/>
  <c r="C49" i="70"/>
  <c r="E40" i="70"/>
  <c r="C40" i="70"/>
  <c r="E38" i="70"/>
  <c r="D38" i="70"/>
  <c r="C38" i="70"/>
  <c r="E36" i="70"/>
  <c r="D36" i="70"/>
  <c r="C36" i="70"/>
  <c r="E34" i="70"/>
  <c r="D34" i="70"/>
  <c r="C34" i="70"/>
  <c r="E33" i="70"/>
  <c r="D33" i="70"/>
  <c r="C33" i="70"/>
  <c r="E32" i="70"/>
  <c r="D32" i="70"/>
  <c r="C32" i="70"/>
  <c r="D26" i="70"/>
  <c r="C26" i="70"/>
  <c r="E25" i="70"/>
  <c r="D25" i="70"/>
  <c r="C25" i="70"/>
  <c r="E20" i="70"/>
  <c r="E23" i="70" s="1"/>
  <c r="D20" i="70"/>
  <c r="C20" i="70"/>
  <c r="E15" i="70"/>
  <c r="D15" i="70"/>
  <c r="C15" i="70"/>
  <c r="D14" i="70"/>
  <c r="C74" i="77"/>
  <c r="E9" i="70"/>
  <c r="D9" i="70"/>
  <c r="C9" i="70"/>
  <c r="E7" i="70"/>
  <c r="D7" i="70"/>
  <c r="C7" i="70"/>
  <c r="C42" i="67"/>
  <c r="D41" i="67"/>
  <c r="D44" i="67" s="1"/>
  <c r="C41" i="67"/>
  <c r="D37" i="67"/>
  <c r="D36" i="67"/>
  <c r="C37" i="67"/>
  <c r="C36" i="67"/>
  <c r="D32" i="67"/>
  <c r="C32" i="67"/>
  <c r="D12" i="67"/>
  <c r="C12" i="67"/>
  <c r="D11" i="67"/>
  <c r="C11" i="67"/>
  <c r="D10" i="67"/>
  <c r="D26" i="67"/>
  <c r="C26" i="67"/>
  <c r="D24" i="67"/>
  <c r="D23" i="67"/>
  <c r="D22" i="67"/>
  <c r="D21" i="67"/>
  <c r="D20" i="67"/>
  <c r="C20" i="67"/>
  <c r="C24" i="67"/>
  <c r="C23" i="67"/>
  <c r="C22" i="67"/>
  <c r="C21" i="67"/>
  <c r="C13" i="67"/>
  <c r="C10" i="67"/>
  <c r="E14" i="70"/>
  <c r="E61" i="70"/>
  <c r="E62" i="70" s="1"/>
  <c r="D61" i="70"/>
  <c r="E26" i="70"/>
  <c r="C93" i="77"/>
  <c r="C35" i="77"/>
  <c r="C16" i="67" s="1"/>
  <c r="D35" i="77"/>
  <c r="D16" i="67" s="1"/>
  <c r="E34" i="77"/>
  <c r="E33" i="77"/>
  <c r="G67" i="78"/>
  <c r="D67" i="78"/>
  <c r="M59" i="78"/>
  <c r="N59" i="78" s="1"/>
  <c r="G59" i="78"/>
  <c r="D59" i="78"/>
  <c r="M52" i="78"/>
  <c r="N52" i="78" s="1"/>
  <c r="G52" i="78"/>
  <c r="D11" i="77" s="1"/>
  <c r="D9" i="67" s="1"/>
  <c r="D52" i="78"/>
  <c r="C11" i="77" s="1"/>
  <c r="C9" i="67" s="1"/>
  <c r="M47" i="78"/>
  <c r="G47" i="78"/>
  <c r="D12" i="65" s="1"/>
  <c r="D47" i="78"/>
  <c r="C12" i="65" s="1"/>
  <c r="D56" i="61"/>
  <c r="E102" i="65" s="1"/>
  <c r="D45" i="61"/>
  <c r="E98" i="65" s="1"/>
  <c r="E22" i="79"/>
  <c r="E18" i="79"/>
  <c r="E14" i="79"/>
  <c r="E11" i="79"/>
  <c r="E8" i="79"/>
  <c r="E95" i="65"/>
  <c r="M51" i="70" s="1"/>
  <c r="E92" i="65"/>
  <c r="E88" i="65"/>
  <c r="E42" i="65"/>
  <c r="M9" i="70" s="1"/>
  <c r="E61" i="77"/>
  <c r="E57" i="77"/>
  <c r="E54" i="77"/>
  <c r="E50" i="77"/>
  <c r="E6" i="70" s="1"/>
  <c r="E41" i="77"/>
  <c r="E17" i="67" s="1"/>
  <c r="M73" i="70"/>
  <c r="M41" i="70"/>
  <c r="M38" i="78"/>
  <c r="N38" i="78" s="1"/>
  <c r="M32" i="78"/>
  <c r="M7" i="78"/>
  <c r="N7" i="78" s="1"/>
  <c r="M5" i="78"/>
  <c r="N5" i="78" s="1"/>
  <c r="E56" i="67" l="1"/>
  <c r="K28" i="70"/>
  <c r="D41" i="61"/>
  <c r="E83" i="65" s="1"/>
  <c r="M47" i="70" s="1"/>
  <c r="E23" i="79"/>
  <c r="F79" i="65"/>
  <c r="L28" i="70"/>
  <c r="E100" i="65"/>
  <c r="M54" i="70"/>
  <c r="M56" i="70" s="1"/>
  <c r="G65" i="65"/>
  <c r="G48" i="67"/>
  <c r="G73" i="65"/>
  <c r="G47" i="67"/>
  <c r="G53" i="67" s="1"/>
  <c r="G58" i="67" s="1"/>
  <c r="G64" i="67" s="1"/>
  <c r="E48" i="70"/>
  <c r="E28" i="67"/>
  <c r="E30" i="67" s="1"/>
  <c r="E19" i="65"/>
  <c r="E45" i="65" s="1"/>
  <c r="N47" i="78"/>
  <c r="N32" i="78"/>
  <c r="C14" i="70"/>
  <c r="C79" i="77"/>
  <c r="C44" i="67"/>
  <c r="F49" i="67"/>
  <c r="E49" i="67"/>
  <c r="F47" i="67"/>
  <c r="F65" i="65"/>
  <c r="M50" i="70"/>
  <c r="E47" i="67"/>
  <c r="E48" i="67"/>
  <c r="F49" i="65"/>
  <c r="M48" i="70"/>
  <c r="E55" i="67"/>
  <c r="D63" i="67"/>
  <c r="C63" i="67"/>
  <c r="E106" i="65"/>
  <c r="M61" i="70"/>
  <c r="M62" i="70" s="1"/>
  <c r="E99" i="77"/>
  <c r="E18" i="70"/>
  <c r="M48" i="78"/>
  <c r="N48" i="78" s="1"/>
  <c r="C79" i="65"/>
  <c r="D67" i="65"/>
  <c r="L20" i="70"/>
  <c r="E103" i="65"/>
  <c r="M58" i="70"/>
  <c r="M59" i="70" s="1"/>
  <c r="E7" i="67"/>
  <c r="C67" i="65"/>
  <c r="K20" i="70"/>
  <c r="D69" i="61"/>
  <c r="D80" i="61" s="1"/>
  <c r="C59" i="65"/>
  <c r="D79" i="65"/>
  <c r="D59" i="65"/>
  <c r="E73" i="65"/>
  <c r="E51" i="65"/>
  <c r="E65" i="65"/>
  <c r="E41" i="70"/>
  <c r="E28" i="70"/>
  <c r="C94" i="77"/>
  <c r="C96" i="77" s="1"/>
  <c r="C61" i="70" s="1"/>
  <c r="E35" i="77"/>
  <c r="E16" i="67" s="1"/>
  <c r="E18" i="67" s="1"/>
  <c r="M25" i="78"/>
  <c r="N25" i="78" s="1"/>
  <c r="G79" i="65" l="1"/>
  <c r="O25" i="70"/>
  <c r="O28" i="70" s="1"/>
  <c r="G67" i="65"/>
  <c r="O20" i="70"/>
  <c r="O23" i="70" s="1"/>
  <c r="M7" i="70"/>
  <c r="M12" i="70" s="1"/>
  <c r="E51" i="67"/>
  <c r="E53" i="67" s="1"/>
  <c r="E96" i="65"/>
  <c r="E54" i="67"/>
  <c r="E57" i="67" s="1"/>
  <c r="M52" i="70"/>
  <c r="M63" i="70" s="1"/>
  <c r="M74" i="70" s="1"/>
  <c r="F67" i="65"/>
  <c r="N20" i="70"/>
  <c r="N23" i="70" s="1"/>
  <c r="F48" i="67"/>
  <c r="F53" i="67" s="1"/>
  <c r="F58" i="67" s="1"/>
  <c r="F64" i="67" s="1"/>
  <c r="F51" i="65"/>
  <c r="E67" i="65"/>
  <c r="M20" i="70"/>
  <c r="M23" i="70" s="1"/>
  <c r="E59" i="65"/>
  <c r="M14" i="70"/>
  <c r="M18" i="70" s="1"/>
  <c r="M60" i="78"/>
  <c r="E6" i="67"/>
  <c r="E14" i="67" s="1"/>
  <c r="E39" i="67" s="1"/>
  <c r="E45" i="67" s="1"/>
  <c r="E42" i="77"/>
  <c r="E47" i="70" s="1"/>
  <c r="E52" i="70" s="1"/>
  <c r="E63" i="70" s="1"/>
  <c r="E74" i="70" s="1"/>
  <c r="E79" i="65"/>
  <c r="M25" i="70"/>
  <c r="M28" i="70" s="1"/>
  <c r="C99" i="77"/>
  <c r="O29" i="70" l="1"/>
  <c r="O42" i="70" s="1"/>
  <c r="O75" i="70" s="1"/>
  <c r="G80" i="65"/>
  <c r="G114" i="65" s="1"/>
  <c r="M62" i="78"/>
  <c r="N62" i="78" s="1"/>
  <c r="N60" i="78"/>
  <c r="E58" i="67"/>
  <c r="E64" i="67" s="1"/>
  <c r="F59" i="65"/>
  <c r="F80" i="65" s="1"/>
  <c r="F114" i="65" s="1"/>
  <c r="N14" i="70"/>
  <c r="N18" i="70" s="1"/>
  <c r="N29" i="70" s="1"/>
  <c r="N42" i="70" s="1"/>
  <c r="N75" i="70" s="1"/>
  <c r="E80" i="65"/>
  <c r="E14" i="77"/>
  <c r="E30" i="77" s="1"/>
  <c r="M29" i="70"/>
  <c r="M42" i="70" s="1"/>
  <c r="M75" i="70" s="1"/>
  <c r="J11" i="58"/>
  <c r="G11" i="58"/>
  <c r="E5" i="70" l="1"/>
  <c r="E12" i="70" s="1"/>
  <c r="E29" i="70" s="1"/>
  <c r="E42" i="70" s="1"/>
  <c r="E75" i="70" s="1"/>
  <c r="E62" i="77"/>
  <c r="E68" i="77" s="1"/>
  <c r="E100" i="77" s="1"/>
  <c r="BI83" i="87" l="1"/>
  <c r="BI81" i="87"/>
  <c r="BI80" i="87"/>
  <c r="BI79" i="87"/>
  <c r="BI78" i="87"/>
  <c r="BI76" i="87"/>
  <c r="BI75" i="87"/>
  <c r="BI74" i="87"/>
  <c r="BI73" i="87"/>
  <c r="BI72" i="87"/>
  <c r="BI71" i="87"/>
  <c r="BI70" i="87"/>
  <c r="BI69" i="87"/>
  <c r="BI68" i="87"/>
  <c r="BI67" i="87"/>
  <c r="BI66" i="87"/>
  <c r="BI65" i="87"/>
  <c r="BI64" i="87"/>
  <c r="BI62" i="87"/>
  <c r="BI61" i="87"/>
  <c r="BI60" i="87"/>
  <c r="BI59" i="87"/>
  <c r="BI58" i="87"/>
  <c r="BI57" i="87"/>
  <c r="BI55" i="87"/>
  <c r="BI52" i="87"/>
  <c r="BI51" i="87"/>
  <c r="BI50" i="87"/>
  <c r="BI49" i="87"/>
  <c r="BI48" i="87"/>
  <c r="BI46" i="87"/>
  <c r="BI44" i="87"/>
  <c r="BI43" i="87"/>
  <c r="BI42" i="87"/>
  <c r="BI41" i="87"/>
  <c r="BI40" i="87"/>
  <c r="BI38" i="87"/>
  <c r="BI37" i="87"/>
  <c r="BI36" i="87"/>
  <c r="BI35" i="87"/>
  <c r="BI34" i="87"/>
  <c r="BI32" i="87"/>
  <c r="BI31" i="87"/>
  <c r="BI30" i="87"/>
  <c r="BI29" i="87"/>
  <c r="BI28" i="87"/>
  <c r="BI27" i="87"/>
  <c r="BI26" i="87"/>
  <c r="BI23" i="87"/>
  <c r="BI22" i="87"/>
  <c r="BI21" i="87"/>
  <c r="BI19" i="87"/>
  <c r="BI17" i="87"/>
  <c r="BI14" i="87"/>
  <c r="BI12" i="87"/>
  <c r="BI11" i="87"/>
  <c r="BI9" i="87"/>
  <c r="BI8" i="87"/>
  <c r="BI7" i="87"/>
  <c r="BI6" i="87"/>
  <c r="BF77" i="87"/>
  <c r="BF63" i="87"/>
  <c r="BF45" i="87"/>
  <c r="BF39" i="87"/>
  <c r="BF33" i="87"/>
  <c r="BF20" i="87"/>
  <c r="BF13" i="87"/>
  <c r="BC77" i="87"/>
  <c r="BC63" i="87"/>
  <c r="BC45" i="87"/>
  <c r="BC39" i="87"/>
  <c r="BC33" i="87"/>
  <c r="BC20" i="87"/>
  <c r="BC13" i="87"/>
  <c r="AZ77" i="87"/>
  <c r="AZ63" i="87"/>
  <c r="AZ45" i="87"/>
  <c r="AZ39" i="87"/>
  <c r="AZ33" i="87"/>
  <c r="AZ20" i="87"/>
  <c r="AZ13" i="87"/>
  <c r="AW77" i="87"/>
  <c r="AW63" i="87"/>
  <c r="AW45" i="87"/>
  <c r="AW39" i="87"/>
  <c r="AW33" i="87"/>
  <c r="AW20" i="87"/>
  <c r="AW13" i="87"/>
  <c r="AT77" i="87"/>
  <c r="AT63" i="87"/>
  <c r="AT45" i="87"/>
  <c r="AT39" i="87"/>
  <c r="AT33" i="87"/>
  <c r="AT20" i="87"/>
  <c r="AT13" i="87"/>
  <c r="AQ77" i="87"/>
  <c r="AQ63" i="87"/>
  <c r="AQ45" i="87"/>
  <c r="AQ39" i="87"/>
  <c r="AQ33" i="87"/>
  <c r="AQ20" i="87"/>
  <c r="AQ13" i="87"/>
  <c r="AN77" i="87"/>
  <c r="AN63" i="87"/>
  <c r="AN45" i="87"/>
  <c r="AN39" i="87"/>
  <c r="AN33" i="87"/>
  <c r="AN20" i="87"/>
  <c r="AN13" i="87"/>
  <c r="AC77" i="87"/>
  <c r="AC63" i="87"/>
  <c r="AC45" i="87"/>
  <c r="AC39" i="87"/>
  <c r="AC33" i="87"/>
  <c r="AC20" i="87"/>
  <c r="AC13" i="87"/>
  <c r="Z77" i="87"/>
  <c r="Z63" i="87"/>
  <c r="Z45" i="87"/>
  <c r="Z39" i="87"/>
  <c r="Z33" i="87"/>
  <c r="Z20" i="87"/>
  <c r="Z13" i="87"/>
  <c r="W77" i="87"/>
  <c r="W63" i="87"/>
  <c r="W45" i="87"/>
  <c r="W39" i="87"/>
  <c r="W33" i="87"/>
  <c r="W20" i="87"/>
  <c r="W13" i="87"/>
  <c r="Q77" i="87"/>
  <c r="Q63" i="87"/>
  <c r="Q45" i="87"/>
  <c r="Q39" i="87"/>
  <c r="Q33" i="87"/>
  <c r="Q20" i="87"/>
  <c r="Q13" i="87"/>
  <c r="N77" i="87"/>
  <c r="N63" i="87"/>
  <c r="N45" i="87"/>
  <c r="N39" i="87"/>
  <c r="N33" i="87"/>
  <c r="N20" i="87"/>
  <c r="N13" i="87"/>
  <c r="BJ79" i="87"/>
  <c r="BJ76" i="87"/>
  <c r="BJ75" i="87"/>
  <c r="BJ74" i="87"/>
  <c r="BJ72" i="87"/>
  <c r="BJ71" i="87"/>
  <c r="BJ68" i="87"/>
  <c r="BJ67" i="87"/>
  <c r="BJ65" i="87"/>
  <c r="BJ64" i="87"/>
  <c r="BJ62" i="87"/>
  <c r="BJ61" i="87"/>
  <c r="BJ60" i="87"/>
  <c r="BJ58" i="87"/>
  <c r="BJ57" i="87"/>
  <c r="BJ55" i="87"/>
  <c r="BJ51" i="87"/>
  <c r="BJ50" i="87"/>
  <c r="BJ49" i="87"/>
  <c r="BJ48" i="87"/>
  <c r="BJ46" i="87"/>
  <c r="BJ43" i="87"/>
  <c r="BJ42" i="87"/>
  <c r="BJ40" i="87"/>
  <c r="BJ38" i="87"/>
  <c r="BJ37" i="87"/>
  <c r="BJ36" i="87"/>
  <c r="BJ34" i="87"/>
  <c r="BJ32" i="87"/>
  <c r="BJ29" i="87"/>
  <c r="BJ26" i="87"/>
  <c r="BJ23" i="87"/>
  <c r="BJ21" i="87"/>
  <c r="BJ19" i="87"/>
  <c r="BJ14" i="87"/>
  <c r="BJ11" i="87"/>
  <c r="BJ8" i="87"/>
  <c r="BJ7" i="87"/>
  <c r="AZ91" i="89"/>
  <c r="AZ89" i="89"/>
  <c r="AZ88" i="89"/>
  <c r="AZ87" i="89"/>
  <c r="AZ86" i="89"/>
  <c r="AZ84" i="89"/>
  <c r="AZ83" i="89"/>
  <c r="AZ82" i="89"/>
  <c r="AZ81" i="89"/>
  <c r="AZ80" i="89"/>
  <c r="AZ79" i="89"/>
  <c r="AZ78" i="89"/>
  <c r="AZ77" i="89"/>
  <c r="AZ76" i="89"/>
  <c r="AZ75" i="89"/>
  <c r="AZ74" i="89"/>
  <c r="AZ73" i="89"/>
  <c r="AZ72" i="89"/>
  <c r="AZ71" i="89"/>
  <c r="AZ70" i="89"/>
  <c r="AZ68" i="89"/>
  <c r="AZ66" i="89"/>
  <c r="AZ65" i="89"/>
  <c r="AZ64" i="89"/>
  <c r="AZ62" i="89"/>
  <c r="AZ61" i="89"/>
  <c r="AZ59" i="89"/>
  <c r="AZ58" i="89"/>
  <c r="AZ57" i="89"/>
  <c r="AZ56" i="89"/>
  <c r="AZ55" i="89"/>
  <c r="AZ54" i="89"/>
  <c r="AZ53" i="89"/>
  <c r="AZ52" i="89"/>
  <c r="AZ51" i="89"/>
  <c r="AZ49" i="89"/>
  <c r="AZ48" i="89"/>
  <c r="AZ47" i="89"/>
  <c r="AZ46" i="89"/>
  <c r="AZ45" i="89"/>
  <c r="AZ43" i="89"/>
  <c r="AZ42" i="89"/>
  <c r="AZ41" i="89"/>
  <c r="AZ40" i="89"/>
  <c r="AZ39" i="89"/>
  <c r="AZ38" i="89"/>
  <c r="AZ36" i="89"/>
  <c r="AZ35" i="89"/>
  <c r="AZ34" i="89"/>
  <c r="AZ33" i="89"/>
  <c r="AZ32" i="89"/>
  <c r="AZ31" i="89"/>
  <c r="AZ29" i="89"/>
  <c r="AZ28" i="89"/>
  <c r="AZ27" i="89"/>
  <c r="AZ26" i="89"/>
  <c r="AZ25" i="89"/>
  <c r="AZ24" i="89"/>
  <c r="AZ21" i="89"/>
  <c r="AZ20" i="89"/>
  <c r="AZ19" i="89"/>
  <c r="AZ17" i="89"/>
  <c r="AZ14" i="89"/>
  <c r="AZ13" i="89"/>
  <c r="AZ12" i="89"/>
  <c r="AZ10" i="89"/>
  <c r="AZ9" i="89"/>
  <c r="AZ8" i="89"/>
  <c r="AZ7" i="89"/>
  <c r="AZ6" i="89"/>
  <c r="AW92" i="89"/>
  <c r="AW85" i="89"/>
  <c r="AW69" i="89"/>
  <c r="AW60" i="89"/>
  <c r="AW50" i="89"/>
  <c r="AW44" i="89"/>
  <c r="AW37" i="89"/>
  <c r="AW30" i="89"/>
  <c r="AW18" i="89"/>
  <c r="AW11" i="89"/>
  <c r="AT92" i="89"/>
  <c r="AT85" i="89"/>
  <c r="AT69" i="89"/>
  <c r="AT60" i="89"/>
  <c r="AT50" i="89"/>
  <c r="AT44" i="89"/>
  <c r="AT37" i="89"/>
  <c r="AT30" i="89"/>
  <c r="AT18" i="89"/>
  <c r="AT11" i="89"/>
  <c r="AQ92" i="89"/>
  <c r="AQ85" i="89"/>
  <c r="AQ69" i="89"/>
  <c r="AQ60" i="89"/>
  <c r="AQ50" i="89"/>
  <c r="AQ44" i="89"/>
  <c r="AQ37" i="89"/>
  <c r="AQ30" i="89"/>
  <c r="AQ18" i="89"/>
  <c r="AQ11" i="89"/>
  <c r="AN92" i="89"/>
  <c r="AN85" i="89"/>
  <c r="AN69" i="89"/>
  <c r="AN60" i="89"/>
  <c r="AN50" i="89"/>
  <c r="AN44" i="89"/>
  <c r="AN37" i="89"/>
  <c r="AN30" i="89"/>
  <c r="AN18" i="89"/>
  <c r="AN11" i="89"/>
  <c r="AK92" i="89"/>
  <c r="AK85" i="89"/>
  <c r="AK69" i="89"/>
  <c r="AK60" i="89"/>
  <c r="AK50" i="89"/>
  <c r="AK44" i="89"/>
  <c r="AK37" i="89"/>
  <c r="AK30" i="89"/>
  <c r="AK18" i="89"/>
  <c r="AK11" i="89"/>
  <c r="AH92" i="89"/>
  <c r="AH85" i="89"/>
  <c r="AH69" i="89"/>
  <c r="AH60" i="89"/>
  <c r="AH50" i="89"/>
  <c r="AH44" i="89"/>
  <c r="AH37" i="89"/>
  <c r="AH30" i="89"/>
  <c r="AH18" i="89"/>
  <c r="AH11" i="89"/>
  <c r="AE92" i="89"/>
  <c r="AE85" i="89"/>
  <c r="AE69" i="89"/>
  <c r="AE60" i="89"/>
  <c r="AE50" i="89"/>
  <c r="AE44" i="89"/>
  <c r="AE37" i="89"/>
  <c r="AE30" i="89"/>
  <c r="AE18" i="89"/>
  <c r="AE11" i="89"/>
  <c r="Y92" i="89"/>
  <c r="Y85" i="89"/>
  <c r="Y69" i="89"/>
  <c r="Y60" i="89"/>
  <c r="Y50" i="89"/>
  <c r="Y44" i="89"/>
  <c r="Y37" i="89"/>
  <c r="Y30" i="89"/>
  <c r="Y18" i="89"/>
  <c r="Y11" i="89"/>
  <c r="V92" i="89"/>
  <c r="V85" i="89"/>
  <c r="V69" i="89"/>
  <c r="V60" i="89"/>
  <c r="V50" i="89"/>
  <c r="V44" i="89"/>
  <c r="V37" i="89"/>
  <c r="V30" i="89"/>
  <c r="V18" i="89"/>
  <c r="V11" i="89"/>
  <c r="P92" i="89"/>
  <c r="P85" i="89"/>
  <c r="P69" i="89"/>
  <c r="P60" i="89"/>
  <c r="P50" i="89"/>
  <c r="P44" i="89"/>
  <c r="P37" i="89"/>
  <c r="P30" i="89"/>
  <c r="P18" i="89"/>
  <c r="P11" i="89"/>
  <c r="M92" i="89"/>
  <c r="M85" i="89"/>
  <c r="M69" i="89"/>
  <c r="M60" i="89"/>
  <c r="M50" i="89"/>
  <c r="M44" i="89"/>
  <c r="M37" i="89"/>
  <c r="M30" i="89"/>
  <c r="M18" i="89"/>
  <c r="M11" i="89"/>
  <c r="J92" i="89"/>
  <c r="J85" i="89"/>
  <c r="J69" i="89"/>
  <c r="J60" i="89"/>
  <c r="J50" i="89"/>
  <c r="J44" i="89"/>
  <c r="J37" i="89"/>
  <c r="J30" i="89"/>
  <c r="J18" i="89"/>
  <c r="J11" i="89"/>
  <c r="G92" i="89"/>
  <c r="G85" i="89"/>
  <c r="G69" i="89"/>
  <c r="G60" i="89"/>
  <c r="G50" i="89"/>
  <c r="G44" i="89"/>
  <c r="G37" i="89"/>
  <c r="G30" i="89"/>
  <c r="G18" i="89"/>
  <c r="G11" i="89"/>
  <c r="AZ23" i="89" l="1"/>
  <c r="P63" i="89"/>
  <c r="P93" i="89" s="1"/>
  <c r="AE63" i="89"/>
  <c r="AE93" i="89" s="1"/>
  <c r="AQ63" i="89"/>
  <c r="AQ93" i="89" s="1"/>
  <c r="W56" i="87"/>
  <c r="W85" i="87" s="1"/>
  <c r="AZ44" i="89"/>
  <c r="AZ50" i="89"/>
  <c r="BF56" i="87"/>
  <c r="BF85" i="87" s="1"/>
  <c r="AZ56" i="87"/>
  <c r="AZ85" i="87" s="1"/>
  <c r="AN56" i="87"/>
  <c r="AN85" i="87" s="1"/>
  <c r="AZ85" i="89"/>
  <c r="M63" i="89"/>
  <c r="M93" i="89" s="1"/>
  <c r="AZ92" i="89"/>
  <c r="AN63" i="89"/>
  <c r="AN93" i="89" s="1"/>
  <c r="BI39" i="87"/>
  <c r="N56" i="87"/>
  <c r="N85" i="87" s="1"/>
  <c r="Q56" i="87"/>
  <c r="Q85" i="87" s="1"/>
  <c r="AC56" i="87"/>
  <c r="AC85" i="87" s="1"/>
  <c r="AZ37" i="89"/>
  <c r="V63" i="89"/>
  <c r="V93" i="89" s="1"/>
  <c r="AW63" i="89"/>
  <c r="AW93" i="89" s="1"/>
  <c r="AQ56" i="87"/>
  <c r="AQ85" i="87" s="1"/>
  <c r="AW56" i="87"/>
  <c r="AW85" i="87" s="1"/>
  <c r="G63" i="89"/>
  <c r="G93" i="89" s="1"/>
  <c r="AZ18" i="89"/>
  <c r="AZ69" i="89"/>
  <c r="AT63" i="89"/>
  <c r="AT93" i="89" s="1"/>
  <c r="BC56" i="87"/>
  <c r="BC85" i="87" s="1"/>
  <c r="AT56" i="87"/>
  <c r="AT85" i="87" s="1"/>
  <c r="BI63" i="87"/>
  <c r="BI33" i="87"/>
  <c r="BI20" i="87"/>
  <c r="BI45" i="87"/>
  <c r="Z56" i="87"/>
  <c r="Z85" i="87" s="1"/>
  <c r="BI13" i="87"/>
  <c r="BI77" i="87"/>
  <c r="BI84" i="87"/>
  <c r="BI53" i="87"/>
  <c r="AZ30" i="89"/>
  <c r="AK63" i="89"/>
  <c r="AK93" i="89" s="1"/>
  <c r="AH63" i="89"/>
  <c r="AH93" i="89" s="1"/>
  <c r="Y63" i="89"/>
  <c r="Y93" i="89" s="1"/>
  <c r="AZ60" i="89"/>
  <c r="J63" i="89"/>
  <c r="J93" i="89" s="1"/>
  <c r="AZ11" i="89"/>
  <c r="D41" i="77"/>
  <c r="D17" i="67" s="1"/>
  <c r="D18" i="67" s="1"/>
  <c r="C41" i="77"/>
  <c r="C17" i="67" s="1"/>
  <c r="C18" i="67" s="1"/>
  <c r="C42" i="77" l="1"/>
  <c r="C47" i="70" s="1"/>
  <c r="D42" i="77"/>
  <c r="D47" i="70" s="1"/>
  <c r="BI85" i="87"/>
  <c r="BI56" i="87"/>
  <c r="AZ63" i="89"/>
  <c r="AZ93" i="89"/>
  <c r="BJ44" i="87"/>
  <c r="L8" i="70"/>
  <c r="D22" i="79" l="1"/>
  <c r="AI41" i="87" l="1"/>
  <c r="BJ41" i="87" s="1"/>
  <c r="P58" i="70" l="1"/>
  <c r="P59" i="70" s="1"/>
  <c r="H103" i="65"/>
  <c r="BJ9" i="87" l="1"/>
  <c r="K29" i="89"/>
  <c r="AI30" i="87" l="1"/>
  <c r="BJ30" i="87" s="1"/>
  <c r="BJ28" i="87"/>
  <c r="AI22" i="87"/>
  <c r="AA6" i="87"/>
  <c r="BJ59" i="87"/>
  <c r="AU27" i="87"/>
  <c r="AR27" i="87"/>
  <c r="X52" i="87"/>
  <c r="X53" i="87" s="1"/>
  <c r="BJ35" i="87"/>
  <c r="AU62" i="89"/>
  <c r="D13" i="67"/>
  <c r="BJ22" i="87" l="1"/>
  <c r="AI25" i="87"/>
  <c r="BJ25" i="87" s="1"/>
  <c r="BJ17" i="87"/>
  <c r="BJ27" i="87"/>
  <c r="BJ31" i="87"/>
  <c r="BJ83" i="87"/>
  <c r="AI81" i="87"/>
  <c r="BJ80" i="87"/>
  <c r="BJ78" i="87"/>
  <c r="BJ70" i="87"/>
  <c r="BJ69" i="87"/>
  <c r="BJ66" i="87"/>
  <c r="BJ73" i="87"/>
  <c r="BJ81" i="87" l="1"/>
  <c r="AI84" i="87"/>
  <c r="T92" i="89"/>
  <c r="BD77" i="87" l="1"/>
  <c r="BD63" i="87"/>
  <c r="BD45" i="87"/>
  <c r="BD39" i="87"/>
  <c r="BD33" i="87"/>
  <c r="BD20" i="87"/>
  <c r="BD13" i="87"/>
  <c r="K8" i="70"/>
  <c r="C92" i="65"/>
  <c r="D92" i="65"/>
  <c r="D83" i="65"/>
  <c r="D84" i="65"/>
  <c r="E107" i="65" l="1"/>
  <c r="E114" i="65" s="1"/>
  <c r="L47" i="70"/>
  <c r="D55" i="67"/>
  <c r="L48" i="70"/>
  <c r="BD56" i="87"/>
  <c r="BA66" i="89"/>
  <c r="BD85" i="87" l="1"/>
  <c r="D38" i="78" l="1"/>
  <c r="D48" i="78" s="1"/>
  <c r="C10" i="77" s="1"/>
  <c r="C8" i="67" s="1"/>
  <c r="AL30" i="89" l="1"/>
  <c r="H8" i="81" l="1"/>
  <c r="T85" i="89" l="1"/>
  <c r="L77" i="87"/>
  <c r="I77" i="87"/>
  <c r="F77" i="87"/>
  <c r="L6" i="81" l="1"/>
  <c r="AX60" i="89" l="1"/>
  <c r="AU60" i="89"/>
  <c r="AR60" i="89"/>
  <c r="AO60" i="89"/>
  <c r="AL60" i="89"/>
  <c r="AI60" i="89"/>
  <c r="AF60" i="89"/>
  <c r="Q60" i="89"/>
  <c r="N60" i="89"/>
  <c r="K60" i="89"/>
  <c r="H60" i="89"/>
  <c r="G5" i="78" l="1"/>
  <c r="AX92" i="89" l="1"/>
  <c r="AU92" i="89"/>
  <c r="AR92" i="89"/>
  <c r="AO92" i="89"/>
  <c r="AL92" i="89"/>
  <c r="AI92" i="89"/>
  <c r="AF92" i="89"/>
  <c r="Z92" i="89"/>
  <c r="W92" i="89"/>
  <c r="Q92" i="89"/>
  <c r="N92" i="89"/>
  <c r="D62" i="70" s="1"/>
  <c r="K92" i="89"/>
  <c r="H92" i="89"/>
  <c r="E92" i="89"/>
  <c r="BA91" i="89"/>
  <c r="BA89" i="89"/>
  <c r="BA88" i="89"/>
  <c r="BA87" i="89"/>
  <c r="BA86" i="89"/>
  <c r="AX85" i="89"/>
  <c r="AU85" i="89"/>
  <c r="AR85" i="89"/>
  <c r="AO85" i="89"/>
  <c r="AL85" i="89"/>
  <c r="AI85" i="89"/>
  <c r="AF85" i="89"/>
  <c r="Z85" i="89"/>
  <c r="W85" i="89"/>
  <c r="Q85" i="89"/>
  <c r="N85" i="89"/>
  <c r="K85" i="89"/>
  <c r="H85" i="89"/>
  <c r="E85" i="89"/>
  <c r="BA84" i="89"/>
  <c r="BA83" i="89"/>
  <c r="BA82" i="89"/>
  <c r="BA81" i="89"/>
  <c r="BA80" i="89"/>
  <c r="BA79" i="89"/>
  <c r="BA78" i="89"/>
  <c r="BA77" i="89"/>
  <c r="BA76" i="89"/>
  <c r="BA75" i="89"/>
  <c r="BA74" i="89"/>
  <c r="BA73" i="89"/>
  <c r="BA72" i="89"/>
  <c r="BA71" i="89"/>
  <c r="BA70" i="89"/>
  <c r="AX69" i="89"/>
  <c r="AU69" i="89"/>
  <c r="AR69" i="89"/>
  <c r="AO69" i="89"/>
  <c r="AL69" i="89"/>
  <c r="AI69" i="89"/>
  <c r="AF69" i="89"/>
  <c r="Z69" i="89"/>
  <c r="W69" i="89"/>
  <c r="T69" i="89"/>
  <c r="Q69" i="89"/>
  <c r="N69" i="89"/>
  <c r="K69" i="89"/>
  <c r="H69" i="89"/>
  <c r="E69" i="89"/>
  <c r="BA68" i="89"/>
  <c r="BA65" i="89"/>
  <c r="BA64" i="89"/>
  <c r="AU61" i="89"/>
  <c r="AR61" i="89"/>
  <c r="AO61" i="89"/>
  <c r="AR62" i="89"/>
  <c r="AO62" i="89"/>
  <c r="E60" i="89"/>
  <c r="Z60" i="89"/>
  <c r="BA58" i="89"/>
  <c r="BA57" i="89"/>
  <c r="T60" i="89"/>
  <c r="BA55" i="89"/>
  <c r="BA54" i="89"/>
  <c r="BA53" i="89"/>
  <c r="BA52" i="89"/>
  <c r="BA51" i="89"/>
  <c r="AX50" i="89"/>
  <c r="AU50" i="89"/>
  <c r="AR50" i="89"/>
  <c r="AO50" i="89"/>
  <c r="AL50" i="89"/>
  <c r="AI50" i="89"/>
  <c r="AF50" i="89"/>
  <c r="Z50" i="89"/>
  <c r="W50" i="89"/>
  <c r="T50" i="89"/>
  <c r="Q50" i="89"/>
  <c r="N50" i="89"/>
  <c r="K50" i="89"/>
  <c r="H50" i="89"/>
  <c r="E50" i="89"/>
  <c r="BA49" i="89"/>
  <c r="BA48" i="89"/>
  <c r="BA47" i="89"/>
  <c r="BA46" i="89"/>
  <c r="BA45" i="89"/>
  <c r="AX44" i="89"/>
  <c r="AU44" i="89"/>
  <c r="AR44" i="89"/>
  <c r="AO44" i="89"/>
  <c r="AL44" i="89"/>
  <c r="AI44" i="89"/>
  <c r="AF44" i="89"/>
  <c r="Z44" i="89"/>
  <c r="W44" i="89"/>
  <c r="T44" i="89"/>
  <c r="Q44" i="89"/>
  <c r="N44" i="89"/>
  <c r="K44" i="89"/>
  <c r="H44" i="89"/>
  <c r="E44" i="89"/>
  <c r="BA43" i="89"/>
  <c r="BA42" i="89"/>
  <c r="BA41" i="89"/>
  <c r="BA40" i="89"/>
  <c r="BA39" i="89"/>
  <c r="BA38" i="89"/>
  <c r="AX37" i="89"/>
  <c r="AU37" i="89"/>
  <c r="AR37" i="89"/>
  <c r="AO37" i="89"/>
  <c r="AL37" i="89"/>
  <c r="AI37" i="89"/>
  <c r="AF37" i="89"/>
  <c r="Z37" i="89"/>
  <c r="W37" i="89"/>
  <c r="T37" i="89"/>
  <c r="Q37" i="89"/>
  <c r="N37" i="89"/>
  <c r="H37" i="89"/>
  <c r="E37" i="89"/>
  <c r="BA36" i="89"/>
  <c r="BA34" i="89"/>
  <c r="BA33" i="89"/>
  <c r="BA32" i="89"/>
  <c r="BA31" i="89"/>
  <c r="AX30" i="89"/>
  <c r="AU30" i="89"/>
  <c r="AR30" i="89"/>
  <c r="AO30" i="89"/>
  <c r="AF30" i="89"/>
  <c r="Z30" i="89"/>
  <c r="W30" i="89"/>
  <c r="Q30" i="89"/>
  <c r="N30" i="89"/>
  <c r="K30" i="89"/>
  <c r="H30" i="89"/>
  <c r="E30" i="89"/>
  <c r="T30" i="89"/>
  <c r="BA28" i="89"/>
  <c r="BA27" i="89"/>
  <c r="BA26" i="89"/>
  <c r="AI30" i="89"/>
  <c r="BA24" i="89"/>
  <c r="BA19" i="89"/>
  <c r="AX18" i="89"/>
  <c r="AU18" i="89"/>
  <c r="AR18" i="89"/>
  <c r="AO18" i="89"/>
  <c r="AI18" i="89"/>
  <c r="AF18" i="89"/>
  <c r="Z18" i="89"/>
  <c r="W18" i="89"/>
  <c r="Q18" i="89"/>
  <c r="N18" i="89"/>
  <c r="H18" i="89"/>
  <c r="E18" i="89"/>
  <c r="BA17" i="89"/>
  <c r="AL18" i="89"/>
  <c r="T18" i="89"/>
  <c r="BA12" i="89"/>
  <c r="AU11" i="89"/>
  <c r="AR11" i="89"/>
  <c r="AO11" i="89"/>
  <c r="AL11" i="89"/>
  <c r="AI11" i="89"/>
  <c r="Z11" i="89"/>
  <c r="W11" i="89"/>
  <c r="Q11" i="89"/>
  <c r="N11" i="89"/>
  <c r="K11" i="89"/>
  <c r="H11" i="89"/>
  <c r="AF11" i="89"/>
  <c r="BA7" i="89"/>
  <c r="D84" i="87"/>
  <c r="BG77" i="87"/>
  <c r="BA77" i="87"/>
  <c r="AX77" i="87"/>
  <c r="AU77" i="87"/>
  <c r="AR77" i="87"/>
  <c r="AO77" i="87"/>
  <c r="AL77" i="87"/>
  <c r="AI77" i="87"/>
  <c r="AD77" i="87"/>
  <c r="AA77" i="87"/>
  <c r="X77" i="87"/>
  <c r="U77" i="87"/>
  <c r="R77" i="87"/>
  <c r="O77" i="87"/>
  <c r="D77" i="87"/>
  <c r="BG63" i="87"/>
  <c r="BA63" i="87"/>
  <c r="AX63" i="87"/>
  <c r="AU63" i="87"/>
  <c r="AR63" i="87"/>
  <c r="AO63" i="87"/>
  <c r="AL63" i="87"/>
  <c r="AI63" i="87"/>
  <c r="AD63" i="87"/>
  <c r="AA63" i="87"/>
  <c r="X63" i="87"/>
  <c r="U63" i="87"/>
  <c r="R63" i="87"/>
  <c r="O63" i="87"/>
  <c r="L63" i="87"/>
  <c r="I63" i="87"/>
  <c r="F63" i="87"/>
  <c r="D63" i="87"/>
  <c r="D53" i="87"/>
  <c r="BG45" i="87"/>
  <c r="BA45" i="87"/>
  <c r="AX45" i="87"/>
  <c r="AU45" i="87"/>
  <c r="AR45" i="87"/>
  <c r="AO45" i="87"/>
  <c r="AL45" i="87"/>
  <c r="AI45" i="87"/>
  <c r="AD45" i="87"/>
  <c r="X45" i="87"/>
  <c r="U45" i="87"/>
  <c r="R45" i="87"/>
  <c r="O45" i="87"/>
  <c r="AA45" i="87"/>
  <c r="I45" i="87"/>
  <c r="F45" i="87"/>
  <c r="BG39" i="87"/>
  <c r="BA39" i="87"/>
  <c r="AX39" i="87"/>
  <c r="AU39" i="87"/>
  <c r="AR39" i="87"/>
  <c r="AO39" i="87"/>
  <c r="AL39" i="87"/>
  <c r="AI39" i="87"/>
  <c r="AD39" i="87"/>
  <c r="AA39" i="87"/>
  <c r="X39" i="87"/>
  <c r="U39" i="87"/>
  <c r="R39" i="87"/>
  <c r="O39" i="87"/>
  <c r="D39" i="87"/>
  <c r="I39" i="87"/>
  <c r="F39" i="87"/>
  <c r="BG33" i="87"/>
  <c r="BA33" i="87"/>
  <c r="AO33" i="87"/>
  <c r="AD33" i="87"/>
  <c r="AA33" i="87"/>
  <c r="X33" i="87"/>
  <c r="U33" i="87"/>
  <c r="R33" i="87"/>
  <c r="O33" i="87"/>
  <c r="I33" i="87"/>
  <c r="F33" i="87"/>
  <c r="AX33" i="87"/>
  <c r="AL33" i="87"/>
  <c r="AU33" i="87"/>
  <c r="AR33" i="87"/>
  <c r="BG20" i="87"/>
  <c r="BA20" i="87"/>
  <c r="AX20" i="87"/>
  <c r="AU20" i="87"/>
  <c r="AR20" i="87"/>
  <c r="AO20" i="87"/>
  <c r="AL20" i="87"/>
  <c r="AD20" i="87"/>
  <c r="AA20" i="87"/>
  <c r="X20" i="87"/>
  <c r="U20" i="87"/>
  <c r="R20" i="87"/>
  <c r="O20" i="87"/>
  <c r="D20" i="87"/>
  <c r="I20" i="87"/>
  <c r="F20" i="87"/>
  <c r="BA13" i="87"/>
  <c r="AX13" i="87"/>
  <c r="AU13" i="87"/>
  <c r="AR13" i="87"/>
  <c r="AO13" i="87"/>
  <c r="AA13" i="87"/>
  <c r="X13" i="87"/>
  <c r="R13" i="87"/>
  <c r="O13" i="87"/>
  <c r="D13" i="87"/>
  <c r="AL13" i="87"/>
  <c r="I13" i="87"/>
  <c r="BJ77" i="87" l="1"/>
  <c r="BJ63" i="87"/>
  <c r="BJ84" i="87"/>
  <c r="X56" i="87"/>
  <c r="H63" i="89"/>
  <c r="H93" i="89" s="1"/>
  <c r="K18" i="89"/>
  <c r="BA59" i="89"/>
  <c r="W60" i="89"/>
  <c r="R56" i="87"/>
  <c r="R85" i="87" s="1"/>
  <c r="D56" i="87"/>
  <c r="D85" i="87" s="1"/>
  <c r="AO56" i="87"/>
  <c r="BA56" i="87"/>
  <c r="AF63" i="89"/>
  <c r="Z63" i="89"/>
  <c r="BA44" i="89"/>
  <c r="BA50" i="89"/>
  <c r="BA92" i="89"/>
  <c r="N63" i="89"/>
  <c r="BA69" i="89"/>
  <c r="BA85" i="89"/>
  <c r="L20" i="87"/>
  <c r="AX56" i="87"/>
  <c r="AX85" i="87" s="1"/>
  <c r="AR63" i="89"/>
  <c r="AR93" i="89" s="1"/>
  <c r="L45" i="87"/>
  <c r="BJ45" i="87" s="1"/>
  <c r="AL56" i="87"/>
  <c r="AL63" i="89"/>
  <c r="K37" i="89"/>
  <c r="BA37" i="89" s="1"/>
  <c r="AI20" i="87"/>
  <c r="L39" i="87"/>
  <c r="BJ39" i="87" s="1"/>
  <c r="L13" i="87"/>
  <c r="AR56" i="87"/>
  <c r="AI33" i="87"/>
  <c r="BA21" i="89"/>
  <c r="BA29" i="89"/>
  <c r="BA62" i="89"/>
  <c r="AI63" i="89"/>
  <c r="AU63" i="89"/>
  <c r="AO63" i="89"/>
  <c r="AO93" i="89" s="1"/>
  <c r="BA6" i="89"/>
  <c r="BA14" i="89"/>
  <c r="BA20" i="89"/>
  <c r="BA25" i="89"/>
  <c r="BA35" i="89"/>
  <c r="BA56" i="89"/>
  <c r="BA30" i="89"/>
  <c r="BA13" i="89"/>
  <c r="I56" i="87"/>
  <c r="I85" i="87" s="1"/>
  <c r="AA56" i="87"/>
  <c r="AU56" i="87"/>
  <c r="F13" i="87"/>
  <c r="BG13" i="87"/>
  <c r="BG56" i="87" s="1"/>
  <c r="L33" i="87"/>
  <c r="C56" i="61"/>
  <c r="D102" i="65" s="1"/>
  <c r="BA23" i="89" l="1"/>
  <c r="D103" i="65"/>
  <c r="L58" i="70"/>
  <c r="D40" i="70"/>
  <c r="D99" i="77"/>
  <c r="BJ20" i="87"/>
  <c r="BJ33" i="87"/>
  <c r="N93" i="89"/>
  <c r="K63" i="89"/>
  <c r="K93" i="89" s="1"/>
  <c r="BA18" i="89"/>
  <c r="BA60" i="89"/>
  <c r="AU93" i="89"/>
  <c r="AR85" i="87"/>
  <c r="AF93" i="89"/>
  <c r="AO85" i="87"/>
  <c r="AA85" i="87"/>
  <c r="AI93" i="89"/>
  <c r="X85" i="87"/>
  <c r="AL93" i="89"/>
  <c r="Z93" i="89"/>
  <c r="D8" i="70"/>
  <c r="BG85" i="87"/>
  <c r="AU85" i="87"/>
  <c r="BA85" i="87"/>
  <c r="W63" i="89"/>
  <c r="AL85" i="87"/>
  <c r="L56" i="87"/>
  <c r="L85" i="87" s="1"/>
  <c r="F56" i="87"/>
  <c r="W93" i="89" l="1"/>
  <c r="F85" i="87"/>
  <c r="C38" i="67"/>
  <c r="C34" i="67"/>
  <c r="C25" i="67"/>
  <c r="C68" i="61" l="1"/>
  <c r="D105" i="65" s="1"/>
  <c r="D8" i="79"/>
  <c r="D57" i="77"/>
  <c r="C57" i="77"/>
  <c r="P61" i="70" l="1"/>
  <c r="P62" i="70" s="1"/>
  <c r="H106" i="65"/>
  <c r="D106" i="65"/>
  <c r="L61" i="70"/>
  <c r="L62" i="70" s="1"/>
  <c r="D18" i="79"/>
  <c r="D14" i="79"/>
  <c r="D11" i="79"/>
  <c r="L59" i="70"/>
  <c r="D23" i="79" l="1"/>
  <c r="BJ52" i="87"/>
  <c r="L18" i="70"/>
  <c r="L23" i="70"/>
  <c r="D23" i="70"/>
  <c r="C45" i="61"/>
  <c r="D98" i="65" s="1"/>
  <c r="D50" i="77"/>
  <c r="G38" i="78"/>
  <c r="G48" i="78" s="1"/>
  <c r="D10" i="77" s="1"/>
  <c r="D8" i="67" s="1"/>
  <c r="G32" i="78"/>
  <c r="G7" i="78"/>
  <c r="G25" i="78" s="1"/>
  <c r="C95" i="65"/>
  <c r="K51" i="70" s="1"/>
  <c r="C88" i="65"/>
  <c r="K50" i="70" s="1"/>
  <c r="C42" i="65"/>
  <c r="K9" i="70" s="1"/>
  <c r="C19" i="65"/>
  <c r="K62" i="70"/>
  <c r="K59" i="70"/>
  <c r="C61" i="77"/>
  <c r="C54" i="77"/>
  <c r="C50" i="77"/>
  <c r="C6" i="70" s="1"/>
  <c r="D25" i="67"/>
  <c r="C22" i="79"/>
  <c r="C28" i="70"/>
  <c r="C23" i="70"/>
  <c r="D18" i="70"/>
  <c r="P7" i="59"/>
  <c r="P10" i="59" s="1"/>
  <c r="L12" i="81"/>
  <c r="L13" i="81"/>
  <c r="L17" i="81"/>
  <c r="L16" i="81"/>
  <c r="L9" i="81"/>
  <c r="L7" i="81"/>
  <c r="L5" i="81"/>
  <c r="L4" i="81"/>
  <c r="B8" i="81"/>
  <c r="B14" i="81"/>
  <c r="B18" i="81"/>
  <c r="K18" i="81"/>
  <c r="J18" i="81"/>
  <c r="I18" i="81"/>
  <c r="G18" i="81"/>
  <c r="F18" i="81"/>
  <c r="E18" i="81"/>
  <c r="D18" i="81"/>
  <c r="C18" i="81"/>
  <c r="D95" i="65"/>
  <c r="L51" i="70" s="1"/>
  <c r="D88" i="65"/>
  <c r="L50" i="70" s="1"/>
  <c r="D42" i="65"/>
  <c r="L9" i="70" s="1"/>
  <c r="D54" i="77"/>
  <c r="D61" i="77"/>
  <c r="D32" i="78"/>
  <c r="C9" i="77" s="1"/>
  <c r="C7" i="67" s="1"/>
  <c r="D25" i="78"/>
  <c r="C18" i="79"/>
  <c r="C14" i="79"/>
  <c r="C11" i="79"/>
  <c r="L3" i="81"/>
  <c r="J13" i="58"/>
  <c r="G13" i="58"/>
  <c r="K14" i="81"/>
  <c r="J14" i="81"/>
  <c r="I14" i="81"/>
  <c r="G14" i="81"/>
  <c r="F14" i="81"/>
  <c r="E14" i="81"/>
  <c r="D14" i="81"/>
  <c r="C14" i="81"/>
  <c r="K8" i="81"/>
  <c r="J8" i="81"/>
  <c r="I8" i="81"/>
  <c r="G8" i="81"/>
  <c r="H19" i="81" s="1"/>
  <c r="F8" i="81"/>
  <c r="E8" i="81"/>
  <c r="D8" i="81"/>
  <c r="C8" i="81"/>
  <c r="L11" i="81"/>
  <c r="K8" i="58"/>
  <c r="K10" i="58"/>
  <c r="K11" i="58" s="1"/>
  <c r="K13" i="58" s="1"/>
  <c r="C23" i="79" l="1"/>
  <c r="G60" i="78"/>
  <c r="G62" i="78" s="1"/>
  <c r="D100" i="65"/>
  <c r="L54" i="70"/>
  <c r="L56" i="70" s="1"/>
  <c r="H100" i="65"/>
  <c r="H107" i="65" s="1"/>
  <c r="H114" i="65" s="1"/>
  <c r="P63" i="70"/>
  <c r="P74" i="70" s="1"/>
  <c r="P75" i="70" s="1"/>
  <c r="H54" i="67"/>
  <c r="H57" i="67" s="1"/>
  <c r="H58" i="67" s="1"/>
  <c r="H64" i="67" s="1"/>
  <c r="D56" i="67"/>
  <c r="D96" i="65"/>
  <c r="C96" i="65"/>
  <c r="C107" i="65" s="1"/>
  <c r="C56" i="67"/>
  <c r="C57" i="67" s="1"/>
  <c r="D54" i="67"/>
  <c r="C8" i="77"/>
  <c r="C6" i="67" s="1"/>
  <c r="C14" i="67" s="1"/>
  <c r="D60" i="78"/>
  <c r="D62" i="78" s="1"/>
  <c r="C48" i="70"/>
  <c r="C28" i="67"/>
  <c r="C30" i="67" s="1"/>
  <c r="BA61" i="89"/>
  <c r="D6" i="70"/>
  <c r="K7" i="70"/>
  <c r="C51" i="67"/>
  <c r="C53" i="67" s="1"/>
  <c r="D28" i="67"/>
  <c r="D30" i="67" s="1"/>
  <c r="D48" i="70"/>
  <c r="C45" i="65"/>
  <c r="D19" i="65"/>
  <c r="L14" i="81"/>
  <c r="D8" i="77"/>
  <c r="D6" i="67" s="1"/>
  <c r="D9" i="77"/>
  <c r="D7" i="67" s="1"/>
  <c r="K23" i="70"/>
  <c r="D19" i="81"/>
  <c r="C69" i="61"/>
  <c r="C80" i="61" s="1"/>
  <c r="F19" i="81"/>
  <c r="E19" i="81"/>
  <c r="B19" i="81"/>
  <c r="C19" i="81"/>
  <c r="K18" i="70"/>
  <c r="I19" i="81"/>
  <c r="J19" i="81"/>
  <c r="K19" i="81"/>
  <c r="L41" i="70"/>
  <c r="G19" i="81"/>
  <c r="L73" i="70"/>
  <c r="L18" i="81"/>
  <c r="D28" i="70"/>
  <c r="K73" i="70"/>
  <c r="C18" i="70"/>
  <c r="C41" i="70"/>
  <c r="L8" i="81"/>
  <c r="C14" i="77" l="1"/>
  <c r="C30" i="77" s="1"/>
  <c r="C62" i="77" s="1"/>
  <c r="C68" i="77" s="1"/>
  <c r="C100" i="77" s="1"/>
  <c r="Q63" i="89"/>
  <c r="Q93" i="89" s="1"/>
  <c r="C39" i="67"/>
  <c r="C45" i="67" s="1"/>
  <c r="L7" i="70"/>
  <c r="C58" i="67"/>
  <c r="C64" i="67" s="1"/>
  <c r="D107" i="65"/>
  <c r="D14" i="77"/>
  <c r="D30" i="77" s="1"/>
  <c r="D5" i="70" s="1"/>
  <c r="U13" i="87"/>
  <c r="BJ12" i="87"/>
  <c r="BJ53" i="87"/>
  <c r="BJ6" i="87"/>
  <c r="E11" i="89"/>
  <c r="E63" i="89" s="1"/>
  <c r="BA9" i="89"/>
  <c r="L19" i="81"/>
  <c r="D52" i="70"/>
  <c r="D63" i="70" s="1"/>
  <c r="D74" i="70" s="1"/>
  <c r="D34" i="67"/>
  <c r="D14" i="67"/>
  <c r="C5" i="70" l="1"/>
  <c r="C12" i="70" s="1"/>
  <c r="C29" i="70" s="1"/>
  <c r="C42" i="70" s="1"/>
  <c r="D45" i="65"/>
  <c r="D80" i="65" s="1"/>
  <c r="D114" i="65" s="1"/>
  <c r="L11" i="70"/>
  <c r="U56" i="87"/>
  <c r="E93" i="89"/>
  <c r="O56" i="87"/>
  <c r="AD13" i="87"/>
  <c r="AD56" i="87" s="1"/>
  <c r="K52" i="70"/>
  <c r="K63" i="70" s="1"/>
  <c r="K74" i="70" s="1"/>
  <c r="K41" i="70"/>
  <c r="C52" i="70"/>
  <c r="C63" i="70" s="1"/>
  <c r="C74" i="70" s="1"/>
  <c r="D38" i="67"/>
  <c r="D39" i="67" s="1"/>
  <c r="D45" i="67" s="1"/>
  <c r="K12" i="70"/>
  <c r="K29" i="70" s="1"/>
  <c r="U85" i="87" l="1"/>
  <c r="O85" i="87"/>
  <c r="AD85" i="87"/>
  <c r="K42" i="70"/>
  <c r="K75" i="70" s="1"/>
  <c r="C75" i="70"/>
  <c r="L12" i="70" l="1"/>
  <c r="L29" i="70" s="1"/>
  <c r="L42" i="70" s="1"/>
  <c r="BA8" i="89"/>
  <c r="T11" i="89"/>
  <c r="T63" i="89" s="1"/>
  <c r="D62" i="77" s="1"/>
  <c r="D68" i="77" s="1"/>
  <c r="AX11" i="89"/>
  <c r="BA10" i="89"/>
  <c r="AI13" i="87"/>
  <c r="BJ13" i="87" s="1"/>
  <c r="D53" i="67" l="1"/>
  <c r="D12" i="70"/>
  <c r="D29" i="70" s="1"/>
  <c r="T93" i="89"/>
  <c r="AX63" i="89"/>
  <c r="BA11" i="89"/>
  <c r="BA63" i="89" s="1"/>
  <c r="AI56" i="87"/>
  <c r="BJ56" i="87" s="1"/>
  <c r="D41" i="70" l="1"/>
  <c r="D42" i="70" s="1"/>
  <c r="D75" i="70" s="1"/>
  <c r="D100" i="77"/>
  <c r="AX93" i="89"/>
  <c r="L52" i="70"/>
  <c r="L63" i="70" s="1"/>
  <c r="L74" i="70" s="1"/>
  <c r="L75" i="70" s="1"/>
  <c r="AI85" i="87"/>
  <c r="BJ85" i="87" s="1"/>
  <c r="D57" i="67" l="1"/>
  <c r="BA93" i="89"/>
  <c r="D58" i="67" l="1"/>
  <c r="D64" i="67" s="1"/>
  <c r="C80" i="65"/>
  <c r="C114" i="65" s="1"/>
  <c r="O55" i="90"/>
  <c r="C61" i="90"/>
  <c r="O61" i="90" s="1"/>
  <c r="O65" i="90"/>
  <c r="C66" i="90" l="1"/>
  <c r="O66" i="90" s="1"/>
</calcChain>
</file>

<file path=xl/sharedStrings.xml><?xml version="1.0" encoding="utf-8"?>
<sst xmlns="http://schemas.openxmlformats.org/spreadsheetml/2006/main" count="3490" uniqueCount="1983">
  <si>
    <t>Sorszám</t>
  </si>
  <si>
    <t xml:space="preserve">Megnevezés </t>
  </si>
  <si>
    <t>1.</t>
  </si>
  <si>
    <t xml:space="preserve">1. </t>
  </si>
  <si>
    <t>2.</t>
  </si>
  <si>
    <t>3.</t>
  </si>
  <si>
    <t>4.</t>
  </si>
  <si>
    <t xml:space="preserve">5. </t>
  </si>
  <si>
    <t>5.</t>
  </si>
  <si>
    <t>Működési célú kiadások összesen</t>
  </si>
  <si>
    <t xml:space="preserve">2. </t>
  </si>
  <si>
    <t xml:space="preserve">3. </t>
  </si>
  <si>
    <t xml:space="preserve">4. </t>
  </si>
  <si>
    <t>Összesen</t>
  </si>
  <si>
    <t>Feladat megnevezése</t>
  </si>
  <si>
    <t>Megnevezés</t>
  </si>
  <si>
    <t>ssz.</t>
  </si>
  <si>
    <t>7.</t>
  </si>
  <si>
    <t>10.</t>
  </si>
  <si>
    <t xml:space="preserve">I. </t>
  </si>
  <si>
    <t>Sor-sz.</t>
  </si>
  <si>
    <t>6.</t>
  </si>
  <si>
    <t>8.</t>
  </si>
  <si>
    <t>Sor- sz.</t>
  </si>
  <si>
    <t>MŰKÖDÉSI CÉLÚ  KIADÁSOK</t>
  </si>
  <si>
    <t>FELHALMOZÁSI CÉLÚ BEVÉTELEK</t>
  </si>
  <si>
    <t>A támogatás kedvezményezettje (csoportonként)</t>
  </si>
  <si>
    <t>jogcíme (jellege)</t>
  </si>
  <si>
    <t>mértéke %</t>
  </si>
  <si>
    <t>Építményadó</t>
  </si>
  <si>
    <t>Magánszemélyek kommunális adója</t>
  </si>
  <si>
    <t>Beszedett idegenforgalmi adó</t>
  </si>
  <si>
    <t>Helyi iparűzési adó</t>
  </si>
  <si>
    <t>Gépjárműadó</t>
  </si>
  <si>
    <t>I.</t>
  </si>
  <si>
    <t>12.</t>
  </si>
  <si>
    <t>Kiadások</t>
  </si>
  <si>
    <t>Hozzájárulás jogcíme</t>
  </si>
  <si>
    <t>Ft/fő</t>
  </si>
  <si>
    <t xml:space="preserve">  -</t>
  </si>
  <si>
    <t xml:space="preserve">Feladat </t>
  </si>
  <si>
    <t>Működési bevételek</t>
  </si>
  <si>
    <t>Működési célú bevételek összesen</t>
  </si>
  <si>
    <t xml:space="preserve">Bevételek főösszege </t>
  </si>
  <si>
    <t>Katalizátor kedv.</t>
  </si>
  <si>
    <t xml:space="preserve">MŰKÖDÉSI CÉLÚ BEVÉTELEK </t>
  </si>
  <si>
    <t>Sorsz.</t>
  </si>
  <si>
    <t>mozgáskorl, költségvetési szerv mentesség</t>
  </si>
  <si>
    <t>25-50-92%</t>
  </si>
  <si>
    <t>Kiadás</t>
  </si>
  <si>
    <t>Kedvezmény</t>
  </si>
  <si>
    <t>Mentesség</t>
  </si>
  <si>
    <t>Helyi adók, gépjárműadó</t>
  </si>
  <si>
    <t>Kiadások összesen:</t>
  </si>
  <si>
    <t>FELHALMOZÁSI KIADÁSOK</t>
  </si>
  <si>
    <t xml:space="preserve"> Beruházások</t>
  </si>
  <si>
    <t>55% zártkert, belterület 30%</t>
  </si>
  <si>
    <t>Magyarországon élő állandó</t>
  </si>
  <si>
    <t>Beruházások összesen:</t>
  </si>
  <si>
    <t>Ellátottak pénzbeli juttatásai</t>
  </si>
  <si>
    <t>Összesen:</t>
  </si>
  <si>
    <t>Önkormányzat</t>
  </si>
  <si>
    <t>Önkormányzat bevételei összesen:</t>
  </si>
  <si>
    <t>Bevételek mindösszesen:</t>
  </si>
  <si>
    <t>2.1 Intézményi működési kiadás</t>
  </si>
  <si>
    <t>3.1 Intézményi működési kiadás</t>
  </si>
  <si>
    <t>Önkormányzat összesen</t>
  </si>
  <si>
    <t>A</t>
  </si>
  <si>
    <t>B</t>
  </si>
  <si>
    <t>C</t>
  </si>
  <si>
    <t xml:space="preserve"> A. Önkormányzat</t>
  </si>
  <si>
    <t>Önkormányzat összesen:</t>
  </si>
  <si>
    <t>Projekt megnevezés (támogatást biztosító)</t>
  </si>
  <si>
    <t xml:space="preserve">Ápolási díj (helyi megállapítás)  </t>
  </si>
  <si>
    <t>B. Közös Önkormányzati Hivatal</t>
  </si>
  <si>
    <t>Közös Önkormányzati Hivatal</t>
  </si>
  <si>
    <t>Közös Önk. Hivatal összesen:</t>
  </si>
  <si>
    <t>Közhatalmi bevételek összesen:</t>
  </si>
  <si>
    <t>Felhalmozási  bevételek</t>
  </si>
  <si>
    <t>Felújítások</t>
  </si>
  <si>
    <t>I. Helyi önkormányzatok működésének általános támogatása</t>
  </si>
  <si>
    <t>a) önkormányzati hivatal működésénak támogatása</t>
  </si>
  <si>
    <t>b) település-üzemeltetéshez kapcsolódó feladataellátás támogatása</t>
  </si>
  <si>
    <t xml:space="preserve">     ba) zöldterület gazdálkodással kapcsolatos feladatok ellátásának támogatása</t>
  </si>
  <si>
    <t xml:space="preserve">     bb) közvilágítás fenntartásának támogatása</t>
  </si>
  <si>
    <t xml:space="preserve">     bc) köztemető fenntartással kapcsolatos feladatok támogatása</t>
  </si>
  <si>
    <t xml:space="preserve">     bd) közutak fenntartásának támogatása</t>
  </si>
  <si>
    <t>I. Helyi önkormányzatok működésének általános támogatása összesen</t>
  </si>
  <si>
    <t>II. Települési önkormányzatok egyes köznevelési feladatainak támogatása</t>
  </si>
  <si>
    <t>II. Települési önkormányzatok egyes köznevelési feladatainak támogatása össz.</t>
  </si>
  <si>
    <t>III. Települési önkormányzatok szociális és gyermekjóléti feladatainak támogatása</t>
  </si>
  <si>
    <t xml:space="preserve">       Bölcsődei ellátás</t>
  </si>
  <si>
    <t>III. Települési önkorm. szociális és gyermekjóléti feladatainak tám.össz.</t>
  </si>
  <si>
    <t xml:space="preserve">       Szociális étkeztetés</t>
  </si>
  <si>
    <t>Önkormányzat feladatainak támogatása összesen:</t>
  </si>
  <si>
    <t>Támogatás</t>
  </si>
  <si>
    <t>Közhatalmi bevételek</t>
  </si>
  <si>
    <t>Közös Önkormányzati Hivatal bevételei összesen:</t>
  </si>
  <si>
    <t>Közös Önkormányzati Hivatal össz.</t>
  </si>
  <si>
    <t>II</t>
  </si>
  <si>
    <t>Lakástámogatás ( K87)</t>
  </si>
  <si>
    <t>Lakástámogatás összesen</t>
  </si>
  <si>
    <t>Egyéb felhalmozási célú támogat.  államházt. kívülre összesen</t>
  </si>
  <si>
    <t xml:space="preserve">     ba) zöldterület gazdálkodással kapcsolatos fel. Támogatása besz. Út</t>
  </si>
  <si>
    <t xml:space="preserve">     bb) közvilágítás fenntartásának támogatása besz. Után</t>
  </si>
  <si>
    <t xml:space="preserve">     bc) köztemető fenntartással kapcsolatos feladatok támogatása besz. Után</t>
  </si>
  <si>
    <t xml:space="preserve">       Bölcsődei ellátás-hátrányos hely  gyermekeknek</t>
  </si>
  <si>
    <t xml:space="preserve">       Gyermekétkeztetés támogatása - finansz. Szemp. Elismert dolg ozói bértámogatás </t>
  </si>
  <si>
    <t>Önkormányzat feladatainak támogatása összesen  mint székhely :</t>
  </si>
  <si>
    <t xml:space="preserve">Közgyógyellátás (helyi megállapítás) </t>
  </si>
  <si>
    <t xml:space="preserve">Fogalalkoztatást helyettesítő támogatás </t>
  </si>
  <si>
    <t>Foglalkoztatással, munkanélküliséggel kapcsolatos ellátások (K45)</t>
  </si>
  <si>
    <t xml:space="preserve">Foglalkoztatással, munkanélküliséggel kapcsolatos ellátások (K45) összesen </t>
  </si>
  <si>
    <t>Lakhatással kapcsolatos ellátások (K46)</t>
  </si>
  <si>
    <t xml:space="preserve">Lakásfenntartási támogatás  </t>
  </si>
  <si>
    <t xml:space="preserve">Adósságcsokkentési támogatás </t>
  </si>
  <si>
    <t xml:space="preserve">Egyéb nem intézményi ellátások (K48) </t>
  </si>
  <si>
    <t>Egyéb nem intézményi ellátások (K48) összesen</t>
  </si>
  <si>
    <t>Ellátottak pénzbeli juttatásai (K4)</t>
  </si>
  <si>
    <t xml:space="preserve">Ellátottak pénzbeli juttatásai összesen (K4) </t>
  </si>
  <si>
    <t>B1</t>
  </si>
  <si>
    <t>B111</t>
  </si>
  <si>
    <t>Rovatszám</t>
  </si>
  <si>
    <t>B112</t>
  </si>
  <si>
    <t>B113</t>
  </si>
  <si>
    <t>B115</t>
  </si>
  <si>
    <t>B11</t>
  </si>
  <si>
    <t>Önkormányzatok működési támogatásai</t>
  </si>
  <si>
    <t>B2</t>
  </si>
  <si>
    <t>B3</t>
  </si>
  <si>
    <t>B4</t>
  </si>
  <si>
    <t>B5</t>
  </si>
  <si>
    <t>B6</t>
  </si>
  <si>
    <t>Működési célú átvett pénzeszközök</t>
  </si>
  <si>
    <t>B7</t>
  </si>
  <si>
    <t>Felhalmozási célú átvett pénzeszközök</t>
  </si>
  <si>
    <t>B1-B7</t>
  </si>
  <si>
    <t xml:space="preserve">Költségvetési bevételek összesen </t>
  </si>
  <si>
    <t>K2</t>
  </si>
  <si>
    <t>K3</t>
  </si>
  <si>
    <t>Dologi kiadások</t>
  </si>
  <si>
    <t>K4</t>
  </si>
  <si>
    <t>K5</t>
  </si>
  <si>
    <t>Egyéb működési célú kiadások</t>
  </si>
  <si>
    <t>K6</t>
  </si>
  <si>
    <t>Beruházások</t>
  </si>
  <si>
    <t>K7</t>
  </si>
  <si>
    <t>K8</t>
  </si>
  <si>
    <t>Egyéb felhalmozási célú kiadások</t>
  </si>
  <si>
    <t>B34</t>
  </si>
  <si>
    <t>B36</t>
  </si>
  <si>
    <t>Egyéb közhatalmi bevételek</t>
  </si>
  <si>
    <t>B16</t>
  </si>
  <si>
    <t>B52</t>
  </si>
  <si>
    <t>Ingatlanok értékesítése</t>
  </si>
  <si>
    <t>11.</t>
  </si>
  <si>
    <t>Kiadás előző  években</t>
  </si>
  <si>
    <t xml:space="preserve">  BEVÉTELEK</t>
  </si>
  <si>
    <t>B25</t>
  </si>
  <si>
    <t>Egyéb felhalmozási célú támogatások bevételei államháztartáson belülről</t>
  </si>
  <si>
    <t>Felhalmozási célú támogatások államháztartáson  belülről</t>
  </si>
  <si>
    <t xml:space="preserve">Felhalmozási célú támogatások államháztartáson  belülről összesen </t>
  </si>
  <si>
    <t xml:space="preserve">Felhalmozási  bevételek összesen </t>
  </si>
  <si>
    <t xml:space="preserve">Működési célú átvett pénzeszközök összesen </t>
  </si>
  <si>
    <t xml:space="preserve">Felhalmozási célú átvett pénzeszközök összesen </t>
  </si>
  <si>
    <t>B351</t>
  </si>
  <si>
    <t xml:space="preserve">Gépjárműadók </t>
  </si>
  <si>
    <t xml:space="preserve">BEVÉTELEK ÖSSZESEN </t>
  </si>
  <si>
    <t>Közhatalmi bevételek összesen</t>
  </si>
  <si>
    <t>K</t>
  </si>
  <si>
    <t>Személyi juttatások összesen</t>
  </si>
  <si>
    <t>Munkaadókat terhelő járulékok és szociális hozzájárulási adó</t>
  </si>
  <si>
    <t xml:space="preserve">Működési költségvetés összesen </t>
  </si>
  <si>
    <t xml:space="preserve">Felhalmozási költségvetés összesen </t>
  </si>
  <si>
    <t>K9</t>
  </si>
  <si>
    <t xml:space="preserve">Finanszírozási kiadások </t>
  </si>
  <si>
    <t xml:space="preserve">KIADÁSOK ÖSSZESEN </t>
  </si>
  <si>
    <t>mutató/  létszám</t>
  </si>
  <si>
    <t>Hozzá- járulás</t>
  </si>
  <si>
    <t>Költségvetési szerv megnevezése</t>
  </si>
  <si>
    <t>Fizikai dolgozó</t>
  </si>
  <si>
    <t xml:space="preserve">A.  Önkormányzat </t>
  </si>
  <si>
    <t xml:space="preserve">B. Zalakarosi Közös Önkormányzati Hivatal </t>
  </si>
  <si>
    <t>Igazgatás, pénzügyi dolgozó</t>
  </si>
  <si>
    <t xml:space="preserve">Óvoda pedagógus </t>
  </si>
  <si>
    <t>Egyéb szak- alkalmazott</t>
  </si>
  <si>
    <t>1. Óvoda</t>
  </si>
  <si>
    <t>2. Bölcsőde</t>
  </si>
  <si>
    <t>Kisgyermek- nevelő</t>
  </si>
  <si>
    <t>Gazdasági ügyviteli dolgozó</t>
  </si>
  <si>
    <t xml:space="preserve">    Mindösszesen</t>
  </si>
  <si>
    <t xml:space="preserve">Népművelő  könyvtáros </t>
  </si>
  <si>
    <t>Közfoglal- koztatottak</t>
  </si>
  <si>
    <t xml:space="preserve">Kiadások főösszege </t>
  </si>
  <si>
    <t>1.1 Működési kiadás</t>
  </si>
  <si>
    <t xml:space="preserve">1.2 Ellátottak pénzbeli juttatásai </t>
  </si>
  <si>
    <t>1.3 Egyéb műk.célú kiadások aht.belül.</t>
  </si>
  <si>
    <t>1.4 Egyéb műk.célú kiadások aht.kívül.</t>
  </si>
  <si>
    <t>1.5 Működési célú kölcsönök</t>
  </si>
  <si>
    <t xml:space="preserve">ÖNKORMÁNYZAT </t>
  </si>
  <si>
    <t xml:space="preserve">Költségvetési bevételek </t>
  </si>
  <si>
    <t xml:space="preserve">   Önkormányzat működési támogatása összesen </t>
  </si>
  <si>
    <t>Működési célú támogatások áht-n  belülről össz.</t>
  </si>
  <si>
    <t xml:space="preserve">Közhatalmi bevételek </t>
  </si>
  <si>
    <t xml:space="preserve">Működési bevételek </t>
  </si>
  <si>
    <t>Felhalmozási bevételek</t>
  </si>
  <si>
    <t xml:space="preserve">6. </t>
  </si>
  <si>
    <t xml:space="preserve">Működési célú átvett pénzeszköz </t>
  </si>
  <si>
    <t xml:space="preserve">Működési célú átvett pénzeszközök összesen   </t>
  </si>
  <si>
    <t xml:space="preserve">Felhalmozási célú átvett pénzeszköz </t>
  </si>
  <si>
    <t xml:space="preserve">Felhalmozási célú átvett pénzeszköz összesen </t>
  </si>
  <si>
    <t xml:space="preserve">Finanszírozási bevételek </t>
  </si>
  <si>
    <t>B114</t>
  </si>
  <si>
    <t xml:space="preserve">    Egyéb célú támogatás államházt. Belül  összesen</t>
  </si>
  <si>
    <t xml:space="preserve"> Bevétel  (pályázatból)</t>
  </si>
  <si>
    <t>Helyi adók összesen (1-5)</t>
  </si>
  <si>
    <t xml:space="preserve">2. Család és nővédelem </t>
  </si>
  <si>
    <t xml:space="preserve">3. Szociális étkeztetés </t>
  </si>
  <si>
    <t xml:space="preserve">1. Önkormányzat igazgatási tevékenységén </t>
  </si>
  <si>
    <t>16.</t>
  </si>
  <si>
    <t xml:space="preserve">Kedvezmények mindösszesen </t>
  </si>
  <si>
    <t>Felhalmozási célú kölcsön összesen</t>
  </si>
  <si>
    <t>b) település-üzemeltetéshez kapcsolódó feladataellátás t.beszámítás után</t>
  </si>
  <si>
    <t>Helyi önkormányzatok működésének általános támogatása</t>
  </si>
  <si>
    <t>Települési önkormányzatok egyes köznevelési feladatainak támogatása</t>
  </si>
  <si>
    <t>Települési önkormányzatok kulturális fedatainak támogatása</t>
  </si>
  <si>
    <t>Működési célú költségvetési támogatások és kiegészítő támogatások</t>
  </si>
  <si>
    <t>Egyéb működési célú támogatások bevételei államháztartáson belülről</t>
  </si>
  <si>
    <t>Működési célú támogatások államháztartáson belülről összesen</t>
  </si>
  <si>
    <t>Működési célú támogatások államháztartáson belülről</t>
  </si>
  <si>
    <t>Értékesítési és forgalmi adók (helyi iparűzési adó)</t>
  </si>
  <si>
    <t>B354</t>
  </si>
  <si>
    <t>B355</t>
  </si>
  <si>
    <t>Egyéb áruhasználati és szolgáltatási adók (tartózkodás utáni IFA)</t>
  </si>
  <si>
    <t>Vagyoni típusú adók (Építményadó, magánszemélyek komm.adója)</t>
  </si>
  <si>
    <t>B53</t>
  </si>
  <si>
    <t>Egyéb tárgyi eszközök értékesítése</t>
  </si>
  <si>
    <t>B64</t>
  </si>
  <si>
    <t>B65</t>
  </si>
  <si>
    <t>Egyéb működési célú átvett pénzeszközök</t>
  </si>
  <si>
    <t>B74</t>
  </si>
  <si>
    <t>B75</t>
  </si>
  <si>
    <t>Egyéb felhalmozási célú átvett pénzeszközök</t>
  </si>
  <si>
    <t xml:space="preserve">KIADÁSOK </t>
  </si>
  <si>
    <t>Települési önkormányzatok szociális,gyermekjóléti és gyermekétkezt. fel.tám.</t>
  </si>
  <si>
    <t>Működési célú visszatéritendő támog.,kölcsönök visszatérülése államh.kivülről</t>
  </si>
  <si>
    <t>2017. évi terv</t>
  </si>
  <si>
    <t>Működési célú kölcsönök állh. Kívülre (K508)</t>
  </si>
  <si>
    <t>Egyéb felhalmozási célú támogatások államházt. Kívülre (K89)</t>
  </si>
  <si>
    <r>
      <t>1.</t>
    </r>
    <r>
      <rPr>
        <i/>
        <sz val="11"/>
        <rFont val="Arial"/>
        <family val="2"/>
        <charset val="238"/>
      </rPr>
      <t>1.Önkormányzat működési támogatása</t>
    </r>
    <r>
      <rPr>
        <b/>
        <i/>
        <sz val="11"/>
        <rFont val="Arial"/>
        <family val="2"/>
        <charset val="238"/>
      </rPr>
      <t xml:space="preserve"> </t>
    </r>
  </si>
  <si>
    <t xml:space="preserve">  1.1.1.Helyi önkorm. Működési általános támogatása </t>
  </si>
  <si>
    <t xml:space="preserve">  1.1.2 Köznevezelési és gyermekétkeztetési fel.tám.</t>
  </si>
  <si>
    <t xml:space="preserve">  1.1.3 Önk. szociális és gyermekjóléti feladatok tám. </t>
  </si>
  <si>
    <t xml:space="preserve">  1.1.4 Önkorm kulturális feladatainak támogatás </t>
  </si>
  <si>
    <t>II.</t>
  </si>
  <si>
    <t>A. Önkormányzat</t>
  </si>
  <si>
    <t>Felhalmozási bevételek összesen:</t>
  </si>
  <si>
    <t>9.</t>
  </si>
  <si>
    <t>Közös Önkormányzati Hivatal összesen:</t>
  </si>
  <si>
    <t>Felhalmozási kiadások összesen:</t>
  </si>
  <si>
    <t>Felújítások összesen:</t>
  </si>
  <si>
    <t>Elvonások, befizetések K502</t>
  </si>
  <si>
    <t xml:space="preserve"> beszámítás összege</t>
  </si>
  <si>
    <t>c) egyéb kötelező önkormányzati feladatok támogatása</t>
  </si>
  <si>
    <t>d.) lakott külterületekkel kapcsolatos feladatok támogatása</t>
  </si>
  <si>
    <t xml:space="preserve">     lakott külterületekkel kapcsolatos feladatok támogatása beszámítás után</t>
  </si>
  <si>
    <t xml:space="preserve">    egyéb kötelező önkormányzati feladatok támogatása beszámítás  után</t>
  </si>
  <si>
    <t>e.) üdülőhelyi feladatok támogatása</t>
  </si>
  <si>
    <t xml:space="preserve">     üdülőhelyi feladatok támogatása beszámítás után</t>
  </si>
  <si>
    <t>Beszámítás összege:</t>
  </si>
  <si>
    <t xml:space="preserve">       Gyermekétkeztetés üzemeltetési támogatása </t>
  </si>
  <si>
    <t>Felhalmozási célú iadások összesen</t>
  </si>
  <si>
    <t>1.1. Működési célú támogatás aht-n belül</t>
  </si>
  <si>
    <t>1.2. Közhatalmi bevételek</t>
  </si>
  <si>
    <t xml:space="preserve">1.3. Működési bevételek </t>
  </si>
  <si>
    <t>1.4. Működési célú átvett pénzeszközök</t>
  </si>
  <si>
    <t>2.1. Működési célú támogatás aht-n belül</t>
  </si>
  <si>
    <t xml:space="preserve">2.2. Működési bevételek </t>
  </si>
  <si>
    <t xml:space="preserve">3.1. Működési bevételek </t>
  </si>
  <si>
    <t>1.6 Elvonások, befizetések</t>
  </si>
  <si>
    <t>1.7 Tartalékok</t>
  </si>
  <si>
    <t>13.</t>
  </si>
  <si>
    <t>14.</t>
  </si>
  <si>
    <t>15.</t>
  </si>
  <si>
    <t>Felhalmozási célú bevételek összesen</t>
  </si>
  <si>
    <t xml:space="preserve">Költségvetési működési bevételek összesen </t>
  </si>
  <si>
    <t xml:space="preserve">Költségvetési felhalmozási bevételek </t>
  </si>
  <si>
    <t xml:space="preserve">Felhalm. finanszírozási bevételek összesen </t>
  </si>
  <si>
    <t xml:space="preserve">Költségvetési felhalmozási célú kiadások </t>
  </si>
  <si>
    <t xml:space="preserve">Felhalmozási célú finanszírozási kiadások </t>
  </si>
  <si>
    <t>K1-K8</t>
  </si>
  <si>
    <t xml:space="preserve">Költségvetési kiadások összesen </t>
  </si>
  <si>
    <t>Egyéb működési célú támogatás  államháztart. belülre összesen</t>
  </si>
  <si>
    <t>Egyéb működési célú támogatások államháztart. belülre (K506)</t>
  </si>
  <si>
    <t xml:space="preserve">Költségvetési működési  célú kiadások </t>
  </si>
  <si>
    <t xml:space="preserve">Költségvetési felhalmozási bevételek összes. </t>
  </si>
  <si>
    <t>Költségvetési felhalmozási célú kiadások össz.</t>
  </si>
  <si>
    <t>17.</t>
  </si>
  <si>
    <t>18.</t>
  </si>
  <si>
    <t>Felhalmozási célú kölcsön K86-K87</t>
  </si>
  <si>
    <t>V. Működési célú költségvetési támogatások és kiegészítő támogatások</t>
  </si>
  <si>
    <t xml:space="preserve">Maradvány igénybevétele </t>
  </si>
  <si>
    <t>2.5. Beruházási kiadás</t>
  </si>
  <si>
    <r>
      <t>FELHALMOZÁSI CÉLÚ KIADÁSOK</t>
    </r>
    <r>
      <rPr>
        <sz val="11"/>
        <rFont val="Arial CE"/>
        <charset val="238"/>
      </rPr>
      <t xml:space="preserve"> </t>
    </r>
  </si>
  <si>
    <t>Finanszirozási kiadások</t>
  </si>
  <si>
    <t>Működési  c. finanszírozási bevételek</t>
  </si>
  <si>
    <t xml:space="preserve">Felhalmozási c. finanszírozási bevételek </t>
  </si>
  <si>
    <t>3.2. Előző évi  maradvány</t>
  </si>
  <si>
    <t xml:space="preserve">Működési célú finanszírozási kiadások </t>
  </si>
  <si>
    <t>2.3. Előző évi  maradvány</t>
  </si>
  <si>
    <t>1.8.Előző évi megelőlegezés visszafizetés</t>
  </si>
  <si>
    <t>Családi támogatások(K42)</t>
  </si>
  <si>
    <t>Egyéb pénzbeni és természetbeni gyermekvédelmi ellátások</t>
  </si>
  <si>
    <t xml:space="preserve">Betegséggel kapcsolatos (nem társadalombiztosítási) ellátások (K44)  összesen: </t>
  </si>
  <si>
    <t>Családi támogatások(K42) összesen:</t>
  </si>
  <si>
    <t>Hitelfelvétel</t>
  </si>
  <si>
    <t>2018. évi terv</t>
  </si>
  <si>
    <t>Zalakarosi Óvoda és Bölcsőde</t>
  </si>
  <si>
    <t>D</t>
  </si>
  <si>
    <t>Zalakarosi Közösségi Ház és Könyvtár</t>
  </si>
  <si>
    <t>4.1. Működési bevételek</t>
  </si>
  <si>
    <t>Zalakarosi Óvoda és Bölcsöde összesen</t>
  </si>
  <si>
    <t>Közös Önkormányzati Hivatal összesen</t>
  </si>
  <si>
    <t>Zalakarosi Közösségi Ház és Könyvtár össz</t>
  </si>
  <si>
    <t>4.1. Intézményi működési kiadás</t>
  </si>
  <si>
    <t>Kiadások főösszege</t>
  </si>
  <si>
    <t>Felhalmozási  kiadások összesen</t>
  </si>
  <si>
    <t>Zalakarosi Óvoda és Bölcsőde bevételei összesen:</t>
  </si>
  <si>
    <t>Zalakarosi Közösségi Ház és Könyvtár bevételei összesen</t>
  </si>
  <si>
    <t>Zalakarosi Közös Önkormányzati Hivatal</t>
  </si>
  <si>
    <t>4.2 Beruházási kiadások</t>
  </si>
  <si>
    <t>D. Zalakarosi Közösségi Ház és Könyvtár</t>
  </si>
  <si>
    <t>C.  Zalakarosi Óvoda és Bölcsőde</t>
  </si>
  <si>
    <t>1. Könyvtár</t>
  </si>
  <si>
    <t>2. Közösségi Ház</t>
  </si>
  <si>
    <t xml:space="preserve">Zalakarosi Közösségi Ház és Könyvtár </t>
  </si>
  <si>
    <t xml:space="preserve">Ebből: Tartalék  </t>
  </si>
  <si>
    <t xml:space="preserve">Államháztartáson belüli megelőlegezés </t>
  </si>
  <si>
    <t>4.2 Működési célre átvett pénzeszköz</t>
  </si>
  <si>
    <t>3.2. Elvonások, befizetések</t>
  </si>
  <si>
    <t>3.4. Beruházási kiadás</t>
  </si>
  <si>
    <t xml:space="preserve">C. Zalakarosi Óvoda és Bölcsőde </t>
  </si>
  <si>
    <t xml:space="preserve">Fő u. 6. élelmiszerbolt felújítás részlete </t>
  </si>
  <si>
    <t>Ft</t>
  </si>
  <si>
    <t xml:space="preserve">  1.1.5 Működési célú kiegészitő támogatás </t>
  </si>
  <si>
    <t>Működési célú finanszirozási bevétel össz.:</t>
  </si>
  <si>
    <t>1.5. Működési célú kölcsön visszatérülése</t>
  </si>
  <si>
    <t>1.6 Előző évi  maradvány</t>
  </si>
  <si>
    <t>1.7 Államháztartáson belüli megelőlegezés</t>
  </si>
  <si>
    <t>Hiteltörlesztés kamata</t>
  </si>
  <si>
    <t>Bevételek</t>
  </si>
  <si>
    <t>3.1 Visszatérítendő lakásépítési kölcsön (lakástámogatás)</t>
  </si>
  <si>
    <t xml:space="preserve">Hiteltörlesztés ( 293. hrsz-u tlek megvásárlására) </t>
  </si>
  <si>
    <t>Felhalmozási célú visszatérítendő tám,kölcsönök visszatérül.államházt.kivülről</t>
  </si>
  <si>
    <t>Sor- szám</t>
  </si>
  <si>
    <t>Kormányzati funkció száma</t>
  </si>
  <si>
    <t>A. ÖNKORMÁNYZAT</t>
  </si>
  <si>
    <t>01.</t>
  </si>
  <si>
    <t>ÁLTALÁNOS KÖZSZOLGÁLTATÁSOK</t>
  </si>
  <si>
    <t>011130</t>
  </si>
  <si>
    <t>Önkorm.és önk.hiv.jogalkotó és ált.igazg.tev.</t>
  </si>
  <si>
    <t>013320</t>
  </si>
  <si>
    <t>Köztemető fenntartás és működtetés</t>
  </si>
  <si>
    <t>013350</t>
  </si>
  <si>
    <t>Önkormányzati vagyonnal v. gazdálkodás</t>
  </si>
  <si>
    <t>018010</t>
  </si>
  <si>
    <t>Önkorm.elszám.a központi költségvetéssel</t>
  </si>
  <si>
    <t>018030</t>
  </si>
  <si>
    <t>Támogatási célú finanszírozási müveletek</t>
  </si>
  <si>
    <t>01. Összesen</t>
  </si>
  <si>
    <t>04.</t>
  </si>
  <si>
    <t>GAZDASÁGI ÜGYEK</t>
  </si>
  <si>
    <t>041233</t>
  </si>
  <si>
    <t>Hosszabb időtartamú közfoglalkoztatás</t>
  </si>
  <si>
    <t>045160</t>
  </si>
  <si>
    <t>Közutak, hidak,alagutak üzemelt., fennt.</t>
  </si>
  <si>
    <t>047410</t>
  </si>
  <si>
    <t>Ár-és belvízvédelemmel összefüggő tev.</t>
  </si>
  <si>
    <t>04. Összesen</t>
  </si>
  <si>
    <t>05.</t>
  </si>
  <si>
    <t>KÖRNYEZETVÉDELEM</t>
  </si>
  <si>
    <t>051030</t>
  </si>
  <si>
    <t>Nem veszélyes hulladék begyűjtése,száll.</t>
  </si>
  <si>
    <t>052080</t>
  </si>
  <si>
    <t>Szennyvízcsatorna építése,fenntartása</t>
  </si>
  <si>
    <t>05. Összesen</t>
  </si>
  <si>
    <t>06.</t>
  </si>
  <si>
    <t>LAKÁS- ÉS KÖZMŰELLÁTÁS</t>
  </si>
  <si>
    <t>061030</t>
  </si>
  <si>
    <t>Lakáshoz jutást segítő támogatások</t>
  </si>
  <si>
    <t>Vizellátással kapcs.közmű építése,fennt.</t>
  </si>
  <si>
    <t>064010</t>
  </si>
  <si>
    <t>Közvilágítás</t>
  </si>
  <si>
    <t>066010</t>
  </si>
  <si>
    <t>Zöldterület -kezelés</t>
  </si>
  <si>
    <t>066020</t>
  </si>
  <si>
    <t>Város-,községgazdálkodási egyéb feladatok</t>
  </si>
  <si>
    <t>06. Összesen</t>
  </si>
  <si>
    <t>07.</t>
  </si>
  <si>
    <t>EGÉSZSÉGÜGY</t>
  </si>
  <si>
    <t>072111</t>
  </si>
  <si>
    <t>Háziorvosi alapellátás</t>
  </si>
  <si>
    <t>072112</t>
  </si>
  <si>
    <t>Házirovosi ügyeleti ellátás</t>
  </si>
  <si>
    <t>072311</t>
  </si>
  <si>
    <t>Fogorvosi alapellátás</t>
  </si>
  <si>
    <t>074031</t>
  </si>
  <si>
    <t>Család és nővédelmi egészségügyi gond.</t>
  </si>
  <si>
    <t>074032</t>
  </si>
  <si>
    <t>Ifjúság-egészségügyi gondozás</t>
  </si>
  <si>
    <t>07. Összesen</t>
  </si>
  <si>
    <t>08.</t>
  </si>
  <si>
    <t>SZABADIDŐ, KULTÚRA ÉS VALLÁS</t>
  </si>
  <si>
    <t>081030</t>
  </si>
  <si>
    <t>Sportlétesítmények működtetése és fejl.</t>
  </si>
  <si>
    <t>082044</t>
  </si>
  <si>
    <t>Könyvtári szolgáltatások</t>
  </si>
  <si>
    <t>082091</t>
  </si>
  <si>
    <t>Közművelődés (közműelődési int. működt.)</t>
  </si>
  <si>
    <t>084031</t>
  </si>
  <si>
    <t>Civil szervezetek támogatása</t>
  </si>
  <si>
    <t>086090</t>
  </si>
  <si>
    <t>Máshová nem sorolható szabadidős szolg.</t>
  </si>
  <si>
    <t>08. Összesen</t>
  </si>
  <si>
    <t>09.</t>
  </si>
  <si>
    <t>OKTATÁS</t>
  </si>
  <si>
    <t>091110</t>
  </si>
  <si>
    <t>Óvodai nevelés, ellátás  működtetési felad.</t>
  </si>
  <si>
    <t>091140</t>
  </si>
  <si>
    <t>096015</t>
  </si>
  <si>
    <t>Gyermekétkeztetés köznevelési intézményekben</t>
  </si>
  <si>
    <t>09. összesen</t>
  </si>
  <si>
    <t>SZOCIÁLIS VÉDELEM</t>
  </si>
  <si>
    <t>104030</t>
  </si>
  <si>
    <t>Gyermekek napközbeni ell. (bölcsődei ell.)</t>
  </si>
  <si>
    <t>104035</t>
  </si>
  <si>
    <t>Bölcsödei étkeztetés</t>
  </si>
  <si>
    <t>Család és gyermekjólési szolgáltatások</t>
  </si>
  <si>
    <t>Gyermekvédelmi pénzbeli és term.ellátás</t>
  </si>
  <si>
    <t>107051</t>
  </si>
  <si>
    <t>Szociális étkezés</t>
  </si>
  <si>
    <t>Házi segítségnyújtás</t>
  </si>
  <si>
    <t>107054</t>
  </si>
  <si>
    <t>Családsegítés</t>
  </si>
  <si>
    <t>107060</t>
  </si>
  <si>
    <t>Egyéb szociális pénzbeni és term. Ellátások</t>
  </si>
  <si>
    <t>10. Összesen</t>
  </si>
  <si>
    <t>900020</t>
  </si>
  <si>
    <t>Önkorm.funkcióra nem sorolható bevételei</t>
  </si>
  <si>
    <t>ÖNKORMÁNYZAT ÖSSZESEN</t>
  </si>
  <si>
    <t xml:space="preserve">B. KÖZÖS ÖNKORMÁNYZATI HIVATAL </t>
  </si>
  <si>
    <t>Önkormányzati igazgatási feladatok</t>
  </si>
  <si>
    <t>Támogatási célú finanszirozási műveletek</t>
  </si>
  <si>
    <t>C.  ÓVODA, BÖLCSŐDE, KÖNYVTÁR</t>
  </si>
  <si>
    <t>013390</t>
  </si>
  <si>
    <t>Egyéb kiegészítő szolgáltatások</t>
  </si>
  <si>
    <t>081045</t>
  </si>
  <si>
    <t>Szabadidősport tevékenys.és támogatása</t>
  </si>
  <si>
    <t>082092</t>
  </si>
  <si>
    <t>Közművelődés,közöss.kult.ért.gondozása</t>
  </si>
  <si>
    <t>Mns.egyéb szabadidős szolgáltatás</t>
  </si>
  <si>
    <t>Óvodai nevelés,ellátás szakmai feladatai</t>
  </si>
  <si>
    <t>Óvodai nevelés,ellátás működtetés feladatai</t>
  </si>
  <si>
    <t>096025</t>
  </si>
  <si>
    <t>Munkahelyi étkeztetés köznevelési intézményben</t>
  </si>
  <si>
    <t>104036</t>
  </si>
  <si>
    <t>Munkahelyei  étkeztetés bölcsődében</t>
  </si>
  <si>
    <t>ZALAKAROSI ÓVODA ÉS BÖLCSŐDE</t>
  </si>
  <si>
    <t>Közmővelődés,közöss.kult.ért.gondozása</t>
  </si>
  <si>
    <t>Mindenféle egyéb szabadidős szolgáltatás</t>
  </si>
  <si>
    <t>MINDÖSSZESEN</t>
  </si>
  <si>
    <t>Lét-szám fő</t>
  </si>
  <si>
    <t>ÖNKORMÁNYZAT</t>
  </si>
  <si>
    <t>Ö</t>
  </si>
  <si>
    <t>011210</t>
  </si>
  <si>
    <t>Államháztartás igazgatása, ellenőrzése</t>
  </si>
  <si>
    <t>Köztemető fenntartás-és üzemeltetés</t>
  </si>
  <si>
    <t>Elszámolás központi kv.szervvel</t>
  </si>
  <si>
    <t>Közutak, hidak,alagutak üzemelt., fennt.üzemeltetése</t>
  </si>
  <si>
    <t>SZOCIÁLIS BIZTONSÁG</t>
  </si>
  <si>
    <t>104042</t>
  </si>
  <si>
    <t>Családsegitő és gyermekjóléti szolgáltatások</t>
  </si>
  <si>
    <t>104051</t>
  </si>
  <si>
    <t>Gyermekvédelmi pénzb.és termb.ellátások</t>
  </si>
  <si>
    <t>107052</t>
  </si>
  <si>
    <t>Egyéb szoc.pénzbeli és temészetbni ellátások,támog.</t>
  </si>
  <si>
    <t>900070</t>
  </si>
  <si>
    <t>Fejezeti és általános tartalékok elszámolása</t>
  </si>
  <si>
    <t xml:space="preserve">ÖNKORMÁNYZAT ÖSSZESEN </t>
  </si>
  <si>
    <t>KÖZÖS ÖNKORMÁNYZATI HIVATAL</t>
  </si>
  <si>
    <t>KÖZÖS ÖNKORMÁNYZATI HIVATAL ÖSSZESEN</t>
  </si>
  <si>
    <t>Közművelődés, könyvtár</t>
  </si>
  <si>
    <t>Munkahelyi étkeztetés bölcsődében</t>
  </si>
  <si>
    <t xml:space="preserve">MINDÖSSZESEN </t>
  </si>
  <si>
    <t>Árokásógép  lizing Karos-Park Kft. Részére</t>
  </si>
  <si>
    <t>Tartalékok,  céltartalékok (K513)</t>
  </si>
  <si>
    <t>Települési támogatások</t>
  </si>
  <si>
    <t>Óvodai nevelés, ellátás  szakmai felad.</t>
  </si>
  <si>
    <t xml:space="preserve">1.Óvodapedagógusok bére </t>
  </si>
  <si>
    <t>2. Óvodapedagógusok pótlólagos  bértámogatás</t>
  </si>
  <si>
    <t>3. Óvodapedagógusok nevelő munkáját közvetlenül segítők bértámogatása</t>
  </si>
  <si>
    <t>5. Óvodaműködtetési támogatás</t>
  </si>
  <si>
    <t xml:space="preserve"> </t>
  </si>
  <si>
    <t>900060</t>
  </si>
  <si>
    <t>KÖZÖS ÖNKORMÁNYZATI  HIVATAL ÖSSZESEN</t>
  </si>
  <si>
    <t>ZALAKAROSI ÓVODA ÉS BÖLCSŐDE ÖSSZESEN</t>
  </si>
  <si>
    <t>KÖZÖSSÉGI HÁZ ÉS KÖNYVTÁR ÖSSZESEN</t>
  </si>
  <si>
    <t>Forgatási és befektetési célú finansz. műv.</t>
  </si>
  <si>
    <t xml:space="preserve">Működési célú támogatások  államháztartáson belülről </t>
  </si>
  <si>
    <t xml:space="preserve">Finanszirozási bevételek                                                                          </t>
  </si>
  <si>
    <t>Kormány-zati funkció száma</t>
  </si>
  <si>
    <t>Ön-ként vállalt</t>
  </si>
  <si>
    <t>Kötele-ző</t>
  </si>
  <si>
    <t>Önkormányzati vagyonnal való gazdálkodás</t>
  </si>
  <si>
    <t>forintban</t>
  </si>
  <si>
    <t>összege  Ft</t>
  </si>
  <si>
    <t>Támogatás megelőlegezés             K914</t>
  </si>
  <si>
    <t>104031</t>
  </si>
  <si>
    <t>Elvonások, befizetések</t>
  </si>
  <si>
    <t>B8</t>
  </si>
  <si>
    <t>Belföldi finanszírozási bevételek</t>
  </si>
  <si>
    <t>1.8 Belföldi értékpapir  beváltás</t>
  </si>
  <si>
    <t>4.3 Előző évi maradvány</t>
  </si>
  <si>
    <t>1.9. Felhalmozási c. támogatás áht.belül</t>
  </si>
  <si>
    <t xml:space="preserve">1.10. Felhalmozási bevételek </t>
  </si>
  <si>
    <t>1.11. Felhalmozási célú kölcs. visszatérülése</t>
  </si>
  <si>
    <t>1.12  Egyéb felhalm.célú átvett pénzeszköz</t>
  </si>
  <si>
    <t>4.2 Elvonások, befizetések</t>
  </si>
  <si>
    <t>1.9 Belföldi értékpapir vásárlás</t>
  </si>
  <si>
    <t xml:space="preserve">1.10 Beruházások </t>
  </si>
  <si>
    <t>1.11 Felújítások</t>
  </si>
  <si>
    <t>1.13 Felhalm.célú pénzeszköz átadás</t>
  </si>
  <si>
    <t>1.14. Felhalm célú kölcsön</t>
  </si>
  <si>
    <t>1.16 Hitel törlesztés</t>
  </si>
  <si>
    <t>1.2 Elvonások, befizetések</t>
  </si>
  <si>
    <t xml:space="preserve">  1.3.1 Közfoglalkoztatás  támogatása </t>
  </si>
  <si>
    <t xml:space="preserve">  1.3.4 Balatonmagyaród tám. óvadai ellátásban r. gyerm.</t>
  </si>
  <si>
    <t xml:space="preserve">  1.3.5 Zalamerenye támogatása óvodai ellátásban  r.gy.</t>
  </si>
  <si>
    <t>Belföldi értékpapír beváltás</t>
  </si>
  <si>
    <t>Felhalmozási célú támogatás államháztartáson belülre (K84)</t>
  </si>
  <si>
    <t>Zalakarosi Óvoda és Bölcsőde  összesen:</t>
  </si>
  <si>
    <t>Zalakarosi Közösségi Ház és Könyvtár összesen:</t>
  </si>
  <si>
    <t>Önkormányzok működési támogatása                                 B11</t>
  </si>
  <si>
    <t>Hozzájárulás</t>
  </si>
  <si>
    <t xml:space="preserve"> Működési célú  átvett pénzeszköz                                                          B6</t>
  </si>
  <si>
    <t>Személyi juttatás                                                  K1</t>
  </si>
  <si>
    <t>Munka-adókat terhelő járulékok                                                     K2</t>
  </si>
  <si>
    <t>Dologi kiadás                                                           K3</t>
  </si>
  <si>
    <t>Elvonások                                          K502</t>
  </si>
  <si>
    <t>MC.tám.ÁHB                                                  K506</t>
  </si>
  <si>
    <t>MC.kölcs.ÁHK                                                  K508</t>
  </si>
  <si>
    <t>MC.tám.ÁHK                                                   K512</t>
  </si>
  <si>
    <t>Tartalékok                                                              K513</t>
  </si>
  <si>
    <t>Beruházások                                                     K6</t>
  </si>
  <si>
    <t>Felújítások                                                             K7</t>
  </si>
  <si>
    <t>FC.támogatás ÁHB                                         K84</t>
  </si>
  <si>
    <t>FC.kölcsön ÁHK                                                K86</t>
  </si>
  <si>
    <t>Lakástámogatás                                 K87</t>
  </si>
  <si>
    <t>FC.támogatás ÁHK                                                 K89</t>
  </si>
  <si>
    <t>Hiteltörlesztés                                                          K911</t>
  </si>
  <si>
    <t>016020</t>
  </si>
  <si>
    <t>Országos népszavazással kapcs.tev.</t>
  </si>
  <si>
    <t xml:space="preserve">       Rászoruló gyermekek szünidei étkeztetésének támogatása</t>
  </si>
  <si>
    <t>2.4. Elvonások, befizetések</t>
  </si>
  <si>
    <t>2.3. Működési célú pe.átadás áh.kivül</t>
  </si>
  <si>
    <t>2017.évi terv</t>
  </si>
  <si>
    <t>2017. évi eredeti előirányzat</t>
  </si>
  <si>
    <t>Hulladékudvar területén zárt szennyviztároló kialakitása</t>
  </si>
  <si>
    <t xml:space="preserve">Ütéscsillapító burkolat csere udvari játékok alatt </t>
  </si>
  <si>
    <t>Önkormányzati épületek felújítása</t>
  </si>
  <si>
    <t>2017.évi eredeti előirányzat</t>
  </si>
  <si>
    <t>4. Minősített óvodapedatógusok kiegészítő támogatása</t>
  </si>
  <si>
    <t xml:space="preserve">       Család-és gyermekjóléti szolgálat</t>
  </si>
  <si>
    <t>4. Családsegítés</t>
  </si>
  <si>
    <t xml:space="preserve">5. Közfoglalkoztatás </t>
  </si>
  <si>
    <t>Választott tisztségviselő</t>
  </si>
  <si>
    <t>063020</t>
  </si>
  <si>
    <t>2018. évi eredeti előirányzat</t>
  </si>
  <si>
    <t>2018.évi eredeti előirányzat</t>
  </si>
  <si>
    <t>2018.évi terv</t>
  </si>
  <si>
    <t>2018. évi előirányzat</t>
  </si>
  <si>
    <t>2018.évi előirányzat</t>
  </si>
  <si>
    <t xml:space="preserve">1.ba Házi  segítségnyújtás - személyi gondozás </t>
  </si>
  <si>
    <t xml:space="preserve">1.ba Házi  segítségnyújtás - személyi gondozás - társulás által történő feladatellátás </t>
  </si>
  <si>
    <t>Öntözőrendszer kiépítése zöldterületeken</t>
  </si>
  <si>
    <t>Fürdő Vendégház fejlesztése (számítógép,tv.)</t>
  </si>
  <si>
    <t xml:space="preserve">INTERREG horvát-magyar kerékpárút </t>
  </si>
  <si>
    <t>Iparterület fejlesztés Behiákon</t>
  </si>
  <si>
    <t>Napelemes rendszer kiépítése</t>
  </si>
  <si>
    <t>Civil Ház bővítés tetőtérben</t>
  </si>
  <si>
    <t>Belterületi út és járdafelújítás pályázatból</t>
  </si>
  <si>
    <t xml:space="preserve">Gyógyhelyi központ kialakítás GINOP </t>
  </si>
  <si>
    <t>Bodahegyi úton hídépítés</t>
  </si>
  <si>
    <t>Térfigyelő kamerarendszer bővítés - rendszámfelismerő</t>
  </si>
  <si>
    <t>Útépítéshez kisajátítás</t>
  </si>
  <si>
    <t>Termál úti sárfelhordáshoz vízelvezetés</t>
  </si>
  <si>
    <t>Fő u. 6. egészségház felújítása</t>
  </si>
  <si>
    <t>Petőfi u. Ny-i oldalán ivóvízvezeték átépítés</t>
  </si>
  <si>
    <t>Számítástechnikai eszközök (számítógép,monitor,nyomt.)</t>
  </si>
  <si>
    <t>Civil Ház bővítés pályázatból</t>
  </si>
  <si>
    <t>Bölcsődébe árnyékoló</t>
  </si>
  <si>
    <t>Óvodába projektor,vetítővászon</t>
  </si>
  <si>
    <t>Óvodába udvari játék</t>
  </si>
  <si>
    <t>Konyhai eszközök</t>
  </si>
  <si>
    <t>Óvodába mágneszár</t>
  </si>
  <si>
    <t>Óvodába rajzasztal, és 10 db szék</t>
  </si>
  <si>
    <t>Kertmoziba hangfal</t>
  </si>
  <si>
    <t>Laptop</t>
  </si>
  <si>
    <t>Könyvtárba fűtőberendezés</t>
  </si>
  <si>
    <t>Könyvtárba fényképezőgép</t>
  </si>
  <si>
    <t>Könyvtárba babzsákfotel</t>
  </si>
  <si>
    <t>Zalakarosi Közösségi Ház össz.</t>
  </si>
  <si>
    <t>063080</t>
  </si>
  <si>
    <t>Termáltó és ökopart fejlesztés</t>
  </si>
  <si>
    <t xml:space="preserve">  1.3.6. Iparterület fejlesztése pályázati támogatás</t>
  </si>
  <si>
    <t xml:space="preserve">  1.3.7. Interreg kerékpárút építés pályázati támogatás</t>
  </si>
  <si>
    <t xml:space="preserve">  1.3.8. Napelemes rendszer kiépítése pályázati támogatás</t>
  </si>
  <si>
    <t xml:space="preserve">  1.3.9. Gyógyhelyi központ kialakítása  pályázati támogatás</t>
  </si>
  <si>
    <t>Játszóterek fejlesztése</t>
  </si>
  <si>
    <t xml:space="preserve">Hivatali épület nagyterem tetővilágító, mennyezet rek. </t>
  </si>
  <si>
    <t xml:space="preserve">Futballpálya, öltöző tervezése, építése </t>
  </si>
  <si>
    <t xml:space="preserve">Iparterület fejlesztés </t>
  </si>
  <si>
    <t xml:space="preserve">Kerékpárút  Interreg HUHR </t>
  </si>
  <si>
    <t xml:space="preserve">Gyógyhelyi központ GINOP </t>
  </si>
  <si>
    <t>2019. és azt követő évben tervezett</t>
  </si>
  <si>
    <r>
      <t>Hazai, valamint E</t>
    </r>
    <r>
      <rPr>
        <b/>
        <sz val="12"/>
        <rFont val="Arial"/>
        <family val="2"/>
        <charset val="238"/>
      </rPr>
      <t xml:space="preserve">urópa Úniós támogatásból megvalósuló beruházásokról tájékoztatás </t>
    </r>
  </si>
  <si>
    <t>Belterületi út, járda felújítás</t>
  </si>
  <si>
    <t xml:space="preserve">Civil Ház bővítés </t>
  </si>
  <si>
    <t>Működési célú támogatások államháztartéson belülről</t>
  </si>
  <si>
    <t>Működési célú támogatások államházt.belülről összesen</t>
  </si>
  <si>
    <t>Felhalmozás célú támogatás államháztartáson belülről</t>
  </si>
  <si>
    <t>2.1. Önkormányzat felhalmozási támogatása</t>
  </si>
  <si>
    <t xml:space="preserve">  Önkormányzat felhalmozási támogatása összesen</t>
  </si>
  <si>
    <t>Felhalmozási célú támogatás összesen</t>
  </si>
  <si>
    <t>2.2. Felhalmozás célú támogatás államházt. Belőlről</t>
  </si>
  <si>
    <t>Egyéb műk.c. átvett pénzeszköz                            B65</t>
  </si>
  <si>
    <t>Egyéb felhalm.c. átvett pénzeszköz                           B75</t>
  </si>
  <si>
    <t xml:space="preserve">Egyéb szennyvízberuházás </t>
  </si>
  <si>
    <t>Viziközmű beruházás 2017. évről áthúzódó</t>
  </si>
  <si>
    <t xml:space="preserve">Bérleti díjakból </t>
  </si>
  <si>
    <t>K1</t>
  </si>
  <si>
    <t>2018. évi         I. módosítás</t>
  </si>
  <si>
    <t>2018. évi   I.módosítás</t>
  </si>
  <si>
    <t>2018. évi I.módosítás</t>
  </si>
  <si>
    <t xml:space="preserve">1.a Házi  segítségnyújtás- segítés </t>
  </si>
  <si>
    <t>1. Egyes szociális és gyermekjóléti feladatok támogatása</t>
  </si>
  <si>
    <t>2. Önkormányzatot és intézményeit megillető szociális ágazati pótlék</t>
  </si>
  <si>
    <t>3. Székhely település által lehívandó szoc. Feladatok támogatása</t>
  </si>
  <si>
    <t>3.Székhely település által lehívandó szociális feladatok támogatása összesen:</t>
  </si>
  <si>
    <t xml:space="preserve">IV Teleülési önkorm kulturális feladatainak támogatása </t>
  </si>
  <si>
    <t>1. Közművelődési és kulturális feladatok támogatása</t>
  </si>
  <si>
    <t>2. Kulturális illetménypótlék támogatása</t>
  </si>
  <si>
    <t>IV Teleülési önkorm kulturális feladatainak támogatása összesen:</t>
  </si>
  <si>
    <t>1. Bérkompenzáció támogatása</t>
  </si>
  <si>
    <t>2. ASP működtetés támogatása</t>
  </si>
  <si>
    <t>V.Működési célú költségv.és kiegészítő támogatások összesen:</t>
  </si>
  <si>
    <t>3. Szociális célú tüzifa kiegészítő támogatása</t>
  </si>
  <si>
    <t>VI. Elszámolásból származó bevételek</t>
  </si>
  <si>
    <t>VII. Önkormányzatok felhalmozási célú támogatásai</t>
  </si>
  <si>
    <t>1. Helyi utak, járdák felújításának támogatása</t>
  </si>
  <si>
    <t>2. Vis Maior támogatás</t>
  </si>
  <si>
    <t>3. Közművelődési érdekeltségnövelő támogatás</t>
  </si>
  <si>
    <t>VII. Önkormányzatok felhalmozási célú támogatásai összesen:</t>
  </si>
  <si>
    <t>f.) 2017.december havi bérkompenzáció</t>
  </si>
  <si>
    <t xml:space="preserve">  1.1.6 Elszámolásból származó bevételek</t>
  </si>
  <si>
    <t>1.3. Egyéb célú támogatás államháztartáson belülről</t>
  </si>
  <si>
    <t xml:space="preserve">  1.3.10. Autómentes nap (előző évi)  pályázati támogatás</t>
  </si>
  <si>
    <t xml:space="preserve">  2.1.1 Belterületi út és járdafelújítás  támogatása</t>
  </si>
  <si>
    <t xml:space="preserve">  2.1.2. Vis Maior támogatása</t>
  </si>
  <si>
    <t>Felhalmozási  célú támogatások áht-n  belülről összesen</t>
  </si>
  <si>
    <t xml:space="preserve">  1.3.11.Közösségi Ház - civil szervezetek fel nem haszn.tám.</t>
  </si>
  <si>
    <t xml:space="preserve">  2.2.1. Iparterület fejlesztése pályázati támogatás</t>
  </si>
  <si>
    <t xml:space="preserve">  2.2.2. Interreg kerékpárút építés pályázati támogatás</t>
  </si>
  <si>
    <t xml:space="preserve">  2.2.3. Napelemes rendszer kiépítése pályázati támogatás</t>
  </si>
  <si>
    <t xml:space="preserve">  2.2.4. Gyógyhelyi központ kialakítása  pályázati támogatás</t>
  </si>
  <si>
    <t xml:space="preserve">3.1. Építmény adó </t>
  </si>
  <si>
    <t xml:space="preserve">3.2. Kommunális adó </t>
  </si>
  <si>
    <t>3.3. Idegenforgalmi adó tartózkodás után</t>
  </si>
  <si>
    <t xml:space="preserve">3.4. Iparűzési adó </t>
  </si>
  <si>
    <t xml:space="preserve">3.5. Gépjárműadó </t>
  </si>
  <si>
    <t>3.6. Egyéb közhatalmi bevételek</t>
  </si>
  <si>
    <t>5.1. Ingatlan értékesités</t>
  </si>
  <si>
    <t xml:space="preserve">6.1. Szociális kölcsön visszatérülése </t>
  </si>
  <si>
    <t xml:space="preserve">7.1. Lakásépítési és munkáltatói kölcsön visszatérülése </t>
  </si>
  <si>
    <t xml:space="preserve">1.1.Zalakaros Város Önkormányzatától projektmenedzseri díj  </t>
  </si>
  <si>
    <t>1.2. Országgyűlési képviselő választások támogatása</t>
  </si>
  <si>
    <t>III.</t>
  </si>
  <si>
    <t xml:space="preserve">II. </t>
  </si>
  <si>
    <t>Felhalmozási célú támogatás államháztartáson belülről</t>
  </si>
  <si>
    <t>1. Civil Ház bővítésére támogatás</t>
  </si>
  <si>
    <t>Működési célú támogatás áht-n  belülről összesen</t>
  </si>
  <si>
    <t>Felhalmozási célú támogatás áht-n  belülről összesen</t>
  </si>
  <si>
    <t>IV.</t>
  </si>
  <si>
    <t>B116</t>
  </si>
  <si>
    <t>Elszámolásból származó bevételek</t>
  </si>
  <si>
    <t>B21</t>
  </si>
  <si>
    <t>Önkormányzatok felhalmozási célú támogatása</t>
  </si>
  <si>
    <t>Belföldi értékpapír vásárás</t>
  </si>
  <si>
    <t>B813</t>
  </si>
  <si>
    <t>B812</t>
  </si>
  <si>
    <t>Előző évi maradvány</t>
  </si>
  <si>
    <t>Belföldi finanszírozási bevételek összesen</t>
  </si>
  <si>
    <t>Felhalmozási célú  támogatás</t>
  </si>
  <si>
    <t>Működési kiadások</t>
  </si>
  <si>
    <t>Működési kiadások összesen:</t>
  </si>
  <si>
    <t>Sor-szám</t>
  </si>
  <si>
    <t>1.1. Személyi kiadások (K1)</t>
  </si>
  <si>
    <t>1.2. Munkaadót terhelő járulékok (K2)</t>
  </si>
  <si>
    <t>1.3. Dologi kiadások (K3)</t>
  </si>
  <si>
    <t>Ellátottak pénzbeli hozzájárulása (K4)</t>
  </si>
  <si>
    <t xml:space="preserve">3.1. Zalakarosi Kistérség Többcélú Társulása hétvégi orvosi ügyelet </t>
  </si>
  <si>
    <t xml:space="preserve">3.3. Bursa ösztöndíjra </t>
  </si>
  <si>
    <t>3.4. Zala megyei Önkormányzatnak - Zalavári emlékpark működtetésére</t>
  </si>
  <si>
    <t xml:space="preserve">3.5. Zalakarosi Közös Önkormányzati Hivatalnak projektmenedzseri díj </t>
  </si>
  <si>
    <t>3.2. Zalakarosi Kistérs. Többc. Társ. Székhelye ált lehívott szoc.felad.tám.</t>
  </si>
  <si>
    <t>3.6. Zalakaros Kistérségi Társulásnak szociális ágazati pótlék átadás</t>
  </si>
  <si>
    <t>3.7. Zalakaros Kistérségi Társulásnak bérkompenzáció átadás</t>
  </si>
  <si>
    <t>3.8. Zalakarosi Közösségi Ház és Könyvtár -  művészeti csoportok támog.</t>
  </si>
  <si>
    <t>4.1 Zalakarosi Turisztikai Egyesület működési támogatása</t>
  </si>
  <si>
    <t>4.2 Zalakarosi Turisztikai Nonprofit Kft működési támogatása</t>
  </si>
  <si>
    <t>4.3 Szálláshelyek minősítésének támogatása lakosság részére</t>
  </si>
  <si>
    <t xml:space="preserve">4.4. Nemzetközi Sakkverseny rendezésére </t>
  </si>
  <si>
    <t>4.5. Karos Park Kft.részére közfoglalkoztatottak cafetéria támogatására</t>
  </si>
  <si>
    <t>4.6. Zalakaros Sportjáért Közhasznú Közalapítvány támogatása</t>
  </si>
  <si>
    <t>4.7. Zalakaros Sportjáért Közhasznú Közalapítvány támogatása</t>
  </si>
  <si>
    <t>4.8. Kanizsa Diákkosárlabda klub támogatása</t>
  </si>
  <si>
    <t>4.9. Karos Sprint Uszóklub támogatása</t>
  </si>
  <si>
    <t>4.10. Zalakaros és Térsége Sportegyesület támogatása</t>
  </si>
  <si>
    <t>4.11. Sensei Németh Budo Akadémia támogatása</t>
  </si>
  <si>
    <t>4.12. Önkéntes Tűzoltó Egyesület támogatása</t>
  </si>
  <si>
    <t>4.13. Zalakarosi Polgárőr Egyesület támogatása</t>
  </si>
  <si>
    <t>4.14. Zalakarosi Közbiztonságáért Közalapítvány támogatása</t>
  </si>
  <si>
    <t>4.15. Zalakarosi Iskoláért Alapítvány támogatása</t>
  </si>
  <si>
    <t>4.16. Zalaegerszegi Motorosrepülő Klub támogatása</t>
  </si>
  <si>
    <t>Egyéb működési célú támogatás  államháztart. kívülre összesen</t>
  </si>
  <si>
    <t>Egyéb működési célú támogatások  államháztartáson kívülre (K512)</t>
  </si>
  <si>
    <t xml:space="preserve">Működési célú kölcsönök államháztartáson kívülre összesen </t>
  </si>
  <si>
    <t>Zalakaros Város Önkormányzata</t>
  </si>
  <si>
    <t xml:space="preserve">5.1. Szociális célú kölcsönök </t>
  </si>
  <si>
    <t xml:space="preserve">Önkormányzat  működési célú kiadásai összesen </t>
  </si>
  <si>
    <t xml:space="preserve">2.1. Zalaszabar Községnek hivatal működtetéséhez átadás </t>
  </si>
  <si>
    <t>Egyéb működési célú támogatások államháztart. belülre összesen</t>
  </si>
  <si>
    <t>Egyéb működési célú támogatások  államháztart. kívülre összesen</t>
  </si>
  <si>
    <t>3.1. M7 Takarékszövetkezetnek választásnapi átlagbér kifizetésre</t>
  </si>
  <si>
    <t>2.1. Zalakaros Önkormányzat részére fel nem használt civil szerv.támog.</t>
  </si>
  <si>
    <t>Közös Önkormányzati Hivatal  működési kiadásai összesen</t>
  </si>
  <si>
    <t>Zalakarosi Óvoda és Bölcsőde  működési kiadásai összesen</t>
  </si>
  <si>
    <t xml:space="preserve">4.1 Lakásépítési-, vásárlási vissza nem térítendő támogatás  </t>
  </si>
  <si>
    <t>5.1. Karos-Park Kft-nek árokásógép lízingelés részletei</t>
  </si>
  <si>
    <t>5.2. Plébánia részére felhalmozási támogatás</t>
  </si>
  <si>
    <t>Zalakaros Önkormányzat felhalmozási céltú kiadásai összesen</t>
  </si>
  <si>
    <t>Zalakarosi Közösségi Ház és Könyvtár  működési kiadásai össz.</t>
  </si>
  <si>
    <t>Zalakarosi Óvoda és Bölcsöde</t>
  </si>
  <si>
    <t>Beruházások (K6)</t>
  </si>
  <si>
    <t>Felújítások (K7)</t>
  </si>
  <si>
    <t>1. Hiteltörlesztés (K911)</t>
  </si>
  <si>
    <t>2. Belföldi értékpapír vásárlás (K9)</t>
  </si>
  <si>
    <t>3. Támogatás megelőlegezés visszafizetés (K914)</t>
  </si>
  <si>
    <t>Kiadások mindösszesen</t>
  </si>
  <si>
    <t>Működési célú kiadások</t>
  </si>
  <si>
    <t>Felhalmozási célú kiadások</t>
  </si>
  <si>
    <t>Felhalmozási célú kiadások összesen</t>
  </si>
  <si>
    <t>Finanszirozási kiadások összesen</t>
  </si>
  <si>
    <t>19.</t>
  </si>
  <si>
    <t>20.</t>
  </si>
  <si>
    <t>21.</t>
  </si>
  <si>
    <t>22.</t>
  </si>
  <si>
    <t>Települési Arculati kézikönyv elkészítése</t>
  </si>
  <si>
    <t>Kerékpárút ároklefedés</t>
  </si>
  <si>
    <t>Zalakaros, 1329 hrsz-on erdősítés</t>
  </si>
  <si>
    <t>Csóri Sándor pályázat beruházási kiadásai</t>
  </si>
  <si>
    <t xml:space="preserve">Hiteltörlesztés </t>
  </si>
  <si>
    <t xml:space="preserve">Belföldi értékpapír vásárlás </t>
  </si>
  <si>
    <t xml:space="preserve">Támogatás megelőlegezés visszafizetés </t>
  </si>
  <si>
    <t>4.2. Működési támogatás áht. Belülre</t>
  </si>
  <si>
    <t>016010</t>
  </si>
  <si>
    <t>Országgyűlési képviselő választások</t>
  </si>
  <si>
    <t>Támogjatási célú finanszirozási műveletek</t>
  </si>
  <si>
    <t>Művészeti csoportok támogatására</t>
  </si>
  <si>
    <t>2018. évi II.módosítás</t>
  </si>
  <si>
    <t>2018. évi   II.módosítás</t>
  </si>
  <si>
    <t>2018. évi         III. módosítás</t>
  </si>
  <si>
    <t>2018. évi    teljesítés</t>
  </si>
  <si>
    <t>2018. évi                I. módosítás</t>
  </si>
  <si>
    <t>2018. évi                II. módosítás</t>
  </si>
  <si>
    <t>2018. évi                 I. módosítás</t>
  </si>
  <si>
    <t>2018. évi                 II. módosítás</t>
  </si>
  <si>
    <t>2018. évi   III.módosítás</t>
  </si>
  <si>
    <t>2018. évi   teljesítés</t>
  </si>
  <si>
    <t>2018. évi                III. módosítás</t>
  </si>
  <si>
    <t>2018. évi       teljesítés</t>
  </si>
  <si>
    <t>2018. évi                 III. módosítás</t>
  </si>
  <si>
    <t>2018. évi              teljesítés</t>
  </si>
  <si>
    <t>2018. évi III.módosítás</t>
  </si>
  <si>
    <t>2018. évi teljesítés</t>
  </si>
  <si>
    <t xml:space="preserve">2018. évi teljesítés   </t>
  </si>
  <si>
    <t>4. Szociális célú tüzifa  támogatása</t>
  </si>
  <si>
    <t xml:space="preserve">  1.3.2 OEP finanszírozás (védőnő, isk.orvos, házi orvos,ügyelet ) </t>
  </si>
  <si>
    <t xml:space="preserve">  1.3.12. Természetbeni Erzsébet utalvány támogatás</t>
  </si>
  <si>
    <t>3. Civil Ház bővítésére önkormányzati támogatás</t>
  </si>
  <si>
    <t>4.17.Tour de Zalakaros célkapu használat  támogatása</t>
  </si>
  <si>
    <t>B816</t>
  </si>
  <si>
    <t>Államháztartáson belüli megelőlegezés</t>
  </si>
  <si>
    <t>Felhalmozási célú támogatás (K86)</t>
  </si>
  <si>
    <t>23.</t>
  </si>
  <si>
    <t>24.</t>
  </si>
  <si>
    <t>25.</t>
  </si>
  <si>
    <t>Hivatalba szerver + vírusirtó vásárlás</t>
  </si>
  <si>
    <t>26.</t>
  </si>
  <si>
    <t>ASP - kártyaleolvasó</t>
  </si>
  <si>
    <t>27.</t>
  </si>
  <si>
    <t xml:space="preserve">Jegenye sor 8. gólyafészek lakásba kerámia főzőlap </t>
  </si>
  <si>
    <t>28.</t>
  </si>
  <si>
    <t>29.</t>
  </si>
  <si>
    <t>30.</t>
  </si>
  <si>
    <t>Rendezési terv módosítás (297/2 hrsz.parkoló épités)</t>
  </si>
  <si>
    <t xml:space="preserve">Civil Ház É-i oldalán acéllépcső kivitelezés </t>
  </si>
  <si>
    <t>VIZMŰ felújítások</t>
  </si>
  <si>
    <t>1.12 Felhalmozási célú támogatás (Áhb.)</t>
  </si>
  <si>
    <t>2018. évi      módosítás</t>
  </si>
  <si>
    <t>2018. évi           módosítás</t>
  </si>
  <si>
    <t>Hiteltörlesztés (Kisfaludy program)</t>
  </si>
  <si>
    <t>Hiteltörlesztés kamata és kezelési költsége</t>
  </si>
  <si>
    <t>Alpolgármester részére telefon</t>
  </si>
  <si>
    <t xml:space="preserve">Hivatal elé virágtartó </t>
  </si>
  <si>
    <t>31.</t>
  </si>
  <si>
    <t>32.</t>
  </si>
  <si>
    <t>Maradvány</t>
  </si>
  <si>
    <t>Orvosi ügyeletre orvosi táska, vércukormérő</t>
  </si>
  <si>
    <t>Közvilágítás bővítés Csárda közben</t>
  </si>
  <si>
    <t>Fürdő Vendégház felújítás</t>
  </si>
  <si>
    <t>Zalakaros 061/2 hrsz. Ivóviz vezeték kiviteli tervek</t>
  </si>
  <si>
    <t>Bútorok, székek, egyéb konyhai eszközök</t>
  </si>
  <si>
    <t>Óvodába ventilátor, redőny</t>
  </si>
  <si>
    <t>Bölcsődébe számítástechnikai eszköz</t>
  </si>
  <si>
    <t>Szerszámok, hangszerek</t>
  </si>
  <si>
    <t>Állvány, néptáncos ruhák</t>
  </si>
  <si>
    <t>Kosárlabdapalánk</t>
  </si>
  <si>
    <t>4.18. Karos Park Kft. Részére dolgozók jutalmazására támogatása</t>
  </si>
  <si>
    <t>1.3 Diákmunka támogatása</t>
  </si>
  <si>
    <t>Felhalmozási célú lakásépítési kölcsön visszatérülés</t>
  </si>
  <si>
    <t>V.</t>
  </si>
  <si>
    <t xml:space="preserve">  1.3.13. Orvosi ügyelethez hozzájárulás önkormányzatoktól</t>
  </si>
  <si>
    <t>7.2. Felhalmozási célú átvett pénzeszköz - közműfejlesztési h.</t>
  </si>
  <si>
    <t>Egyéb működési célú támogatások</t>
  </si>
  <si>
    <t>Egyéb működési célú támogatások  összesen</t>
  </si>
  <si>
    <t>2.2. Egyéb működési támogatás ÁHK</t>
  </si>
  <si>
    <t>Csóri Sándor pályázati támogatás</t>
  </si>
  <si>
    <t>Felhalmozási bevétel - üst értékesítés</t>
  </si>
  <si>
    <t>Közmunka támogatás</t>
  </si>
  <si>
    <t>2. Csóri Sándor pályázati támogatás</t>
  </si>
  <si>
    <t>2.2 Egyéb működési célú támogatás áht.belül</t>
  </si>
  <si>
    <t>2.4 Felhalmozási bevétel</t>
  </si>
  <si>
    <t>2.5 Felhalmozási célú kölcsön visszatérülés</t>
  </si>
  <si>
    <t>3.3 Felhalmozási bevétel</t>
  </si>
  <si>
    <t>2.6 Felhalmozási célú kölcsön</t>
  </si>
  <si>
    <t>Egyéb önkormányzati rendeletben megállapított támogatás</t>
  </si>
  <si>
    <t>Fúvósfesztivál támogatatása</t>
  </si>
  <si>
    <t>Elvonások, befizetések                                          B12</t>
  </si>
  <si>
    <t>Egyéb műk. célú támogatás                                  B16</t>
  </si>
  <si>
    <t>Felhalmozási célú támogatatások államháztartáson belülről                                                                                                 B2</t>
  </si>
  <si>
    <t>Közhatalmi bevételek                                                  B3</t>
  </si>
  <si>
    <t>Működési bevételek                                                             B4</t>
  </si>
  <si>
    <t>Műk.célú kölcsön visszatérülés                                  B64</t>
  </si>
  <si>
    <t>Felhalmozási bevételek                                          B5</t>
  </si>
  <si>
    <t>Hitelfelvétel                                                      B811</t>
  </si>
  <si>
    <t>Támogatás megelőlegezés                                      B814</t>
  </si>
  <si>
    <t>Belföldi értékpapírok beváltása                                            B812</t>
  </si>
  <si>
    <t>Felhalmozási célú átvett pénzeszköz                                                                                          B7</t>
  </si>
  <si>
    <t>Felhalm.célú kölcsön visszatérülés                                                               B74</t>
  </si>
  <si>
    <t>Maradvány igénybevétel                                                    B813</t>
  </si>
  <si>
    <t>045110</t>
  </si>
  <si>
    <t>Közúti közlekedés igazgatás és támogatása</t>
  </si>
  <si>
    <t>047320</t>
  </si>
  <si>
    <t>Turizmusfejlesztés támogatások</t>
  </si>
  <si>
    <t>056010</t>
  </si>
  <si>
    <t>Komplex környezetvédelmi programok támogatása</t>
  </si>
  <si>
    <t>2018.évi  teljesítés</t>
  </si>
  <si>
    <t>Ellátottak pénzbeli juttatásai                             K4</t>
  </si>
  <si>
    <t xml:space="preserve">Egyéb működési célú kiadások                                                                                                                                                                                                                                                                                                                                                     K5                                                              </t>
  </si>
  <si>
    <t xml:space="preserve">Finanszirozási kiadások                            </t>
  </si>
  <si>
    <t>Egyéb felhalmozási  célú kiadások                                                                                                                                                                                                                                 K8</t>
  </si>
  <si>
    <t>Értékpapír vásárlás                                                          K9</t>
  </si>
  <si>
    <t>013370</t>
  </si>
  <si>
    <t>Informatikai fejlesztések, szolgálttások</t>
  </si>
  <si>
    <t>Informatikai fejlesztések szolgáltatások</t>
  </si>
  <si>
    <t>Közúti közlekedés igazgatása és támogatása</t>
  </si>
  <si>
    <t xml:space="preserve">Turizmusfejlesztési támogatások </t>
  </si>
  <si>
    <t>Komplex kornyezetvédelmi progr.támogatása</t>
  </si>
  <si>
    <t>104037</t>
  </si>
  <si>
    <t>Intézményen kívüli gyermekétkeztetés</t>
  </si>
  <si>
    <t>Elszámolás-ból adódó különbözet</t>
  </si>
  <si>
    <t>2018.évi elszámolás</t>
  </si>
  <si>
    <t>5. Téli rezsicsökkentésben nem részeszesülők támogatása</t>
  </si>
  <si>
    <t>Módosítás</t>
  </si>
  <si>
    <t>ESZKÖZÖK</t>
  </si>
  <si>
    <t>A/I/1        Vagyoni értékű jogok</t>
  </si>
  <si>
    <t>A/I/2        Szellemi termékek</t>
  </si>
  <si>
    <t>A/I        Immateriális javak (=A/I/1+A/I/2+A/I/3) (04=01+02+03)</t>
  </si>
  <si>
    <t>A/II/1        Ingatlanok és a kapcsolódó vagyoni értékű jogok</t>
  </si>
  <si>
    <t>A/II/2        Gépek, berendezések, felszerelések, járművek</t>
  </si>
  <si>
    <t>A/II/4        Beruházások, felújítások</t>
  </si>
  <si>
    <t>A/II        Tárgyi eszközök (=A/II/1+...+A/II/5) (10=05+...+09)</t>
  </si>
  <si>
    <t>A/III/1        Tartós részesedések (11&gt;=12+13)</t>
  </si>
  <si>
    <t>A/III/1b        - ebből: tartós részesedések nem pü.vállalkozásban</t>
  </si>
  <si>
    <t>A/III/1e        - ebből: egyéb tartós részesedések</t>
  </si>
  <si>
    <t>A/III        Befektetett pénzügyi eszközök (=A/III/1+A/III/2+A/III/3) (18=11+14+17)</t>
  </si>
  <si>
    <t>A)        NEMZETI VAGYONBA TARTOZÓ BEFEKTETETT ESZKÖZÖK (=A/I+A/II+A/III+A/IV) (22=04+10+18+21)</t>
  </si>
  <si>
    <t>B/I/1        Vásárolt készletek</t>
  </si>
  <si>
    <t>B/I        Készletek (=B/I/1+…+B/I/5) (28=23+...+27)</t>
  </si>
  <si>
    <t>35.</t>
  </si>
  <si>
    <t>B/II/1        Nem tartós részesedések</t>
  </si>
  <si>
    <t>B/II/2        Forgatási célú hitelviszonyt megtestesítő értékpapírok (30&gt;=31+...+35)</t>
  </si>
  <si>
    <t>42.</t>
  </si>
  <si>
    <t>B/II        Értékpapírok (=B/II/1+B/II/2) (36=29+30)</t>
  </si>
  <si>
    <t>43.</t>
  </si>
  <si>
    <t xml:space="preserve">B)        NEMZETI VAGYONBA TARTOZÓ FORGÓESZKÖZÖK (= B/I+B/II) </t>
  </si>
  <si>
    <t>C/II        Pénztárak, csekkek, betétkönyvek</t>
  </si>
  <si>
    <t>C/III        Forintszámlák</t>
  </si>
  <si>
    <t>C/IV        Devizaszámlák</t>
  </si>
  <si>
    <t xml:space="preserve">C)        PÉNZESZKÖZÖK (=C/I+…+C/V) </t>
  </si>
  <si>
    <t>D/I/3 Költségv.évben esedékes követelés közhatalmi bevételre</t>
  </si>
  <si>
    <t>D/I/4 Költségv.évben esedékes követelés működési bevételre</t>
  </si>
  <si>
    <t>D/I/6 Költségv.évben esedékes követelés műk.c.átvett pénze.</t>
  </si>
  <si>
    <t>D/I/7 Költségv.évben esedékes követelés felh.c.átvett pénze.</t>
  </si>
  <si>
    <t>101.</t>
  </si>
  <si>
    <t>D/I   Költségvetési évben esedékes követelés összesen</t>
  </si>
  <si>
    <t>D/II/6 Költségv.évet köv. esedékes követelés műk.c.átvett p.</t>
  </si>
  <si>
    <t>D/II/7 Költségv.évet köv. esedékes követelés felh.c.átvett p.</t>
  </si>
  <si>
    <t>D/II   Költségvetési évet követően esedékes követelés összesen</t>
  </si>
  <si>
    <t>D/III/1   Adott előlegek</t>
  </si>
  <si>
    <t>D/III/4 Forgótőke elszámolása</t>
  </si>
  <si>
    <t>D/III   Követelés jellegű sajátos elszámolások</t>
  </si>
  <si>
    <t xml:space="preserve">D)  Követelések </t>
  </si>
  <si>
    <t>E)  Egyéb sajátos eszközoldali elszámolások</t>
  </si>
  <si>
    <t>F/2  Költségek, ráfordítások aktív időbeli elhatárolása</t>
  </si>
  <si>
    <t>F)  Aktív időbeli elhatárolások</t>
  </si>
  <si>
    <t>Eszközök összesen</t>
  </si>
  <si>
    <t>FORRÁSOK</t>
  </si>
  <si>
    <t>G/I  Nemzeti vagyon induláskori értéke</t>
  </si>
  <si>
    <t>G/II  Nemzeti vagyon változásai</t>
  </si>
  <si>
    <t>G/III Egyéb eszközök induláskori értéke és változásai</t>
  </si>
  <si>
    <t>G/IV  Felhalmozott eredmény</t>
  </si>
  <si>
    <t>G/VI  Mérleg szerinti eredmény</t>
  </si>
  <si>
    <t>G)  SAJÁT TŐKE ÖSSZESEN (1+2+3)</t>
  </si>
  <si>
    <t>H/I/3 Költségvetési évben esed. kötelezettség dologi kiadásra</t>
  </si>
  <si>
    <t>H/I  Költségvetési évben esedékes kötelezettségek</t>
  </si>
  <si>
    <t xml:space="preserve"> H/II/9 Költségvetési évet köv. esed. kötelezettség finanszir.kiad.</t>
  </si>
  <si>
    <t>H/II  Költségvetési évet köv. esedékes kötelezettségek</t>
  </si>
  <si>
    <t>H/III/1 Kapott előlegek</t>
  </si>
  <si>
    <t>H/III/78 Letétre, megőrzésre átvett pénzeszközök, biztosítékok</t>
  </si>
  <si>
    <t>H/III   Kötelezettség jellegű sajátos elszámolások összesen:</t>
  </si>
  <si>
    <t>H) Kötelezettségek</t>
  </si>
  <si>
    <t>J/2  Költségek, ráfordítások passzív időbeli elhatárolása</t>
  </si>
  <si>
    <t>J/3 Halasztott eredményszemléletű bevételek</t>
  </si>
  <si>
    <t>253.</t>
  </si>
  <si>
    <t>K) Passzív időbeli elhatárolások</t>
  </si>
  <si>
    <t>254.</t>
  </si>
  <si>
    <t>Források összesen</t>
  </si>
  <si>
    <t>Zalakaros Város Önkormányzat</t>
  </si>
  <si>
    <t>Óvoda és Bölcsőde</t>
  </si>
  <si>
    <t>Közösségi Ház és Könyvtár</t>
  </si>
  <si>
    <t>előző időszak</t>
  </si>
  <si>
    <t>Módosí-tások</t>
  </si>
  <si>
    <t>Közhatalmi eredményszemléletű bevételek</t>
  </si>
  <si>
    <t>02.</t>
  </si>
  <si>
    <t>Eszközök és szolgálataások értékesítése, nettó eredmény szemléletű bev.</t>
  </si>
  <si>
    <t>03.</t>
  </si>
  <si>
    <t>Tevékenység egyéb nettó erdmnényszemléletű bevételei</t>
  </si>
  <si>
    <t>Tevékenység nettó eredményszemléletű bevétele</t>
  </si>
  <si>
    <t>Központi működési célú támogatások eredményszemléletű bevételei</t>
  </si>
  <si>
    <t>Egyéb működési célú támogatások eredményszemléletű bevételei</t>
  </si>
  <si>
    <t>Felhalmozási célú támogatások eredményszemléletű bevételei</t>
  </si>
  <si>
    <t>Különféle egyéb eredményszemléletű bevételek</t>
  </si>
  <si>
    <t>Egyéb eredményszemléletű bevételek</t>
  </si>
  <si>
    <t>Anyagköltség</t>
  </si>
  <si>
    <t>Igénybevett szolgáltatások értéke</t>
  </si>
  <si>
    <t>Eladott(közvetített) szolgáltratások értéke</t>
  </si>
  <si>
    <t>Anyagi jellegű ráfordítások</t>
  </si>
  <si>
    <t>Bérköltség</t>
  </si>
  <si>
    <t>Személyi jellegű egyéb kfizetések</t>
  </si>
  <si>
    <t>Bérjárulékok</t>
  </si>
  <si>
    <t>V</t>
  </si>
  <si>
    <t>Személyi jellegű ráfordíatások</t>
  </si>
  <si>
    <t>VI</t>
  </si>
  <si>
    <t>Értékcsökkenési leírás</t>
  </si>
  <si>
    <t>VII</t>
  </si>
  <si>
    <t>Egyéb ráfordítások</t>
  </si>
  <si>
    <t>A)</t>
  </si>
  <si>
    <t>Tevékenységek eredménye</t>
  </si>
  <si>
    <t>Kapott (járó) osztalék és részesedés</t>
  </si>
  <si>
    <t>Kapott (járó) kamatok és kamatjellegű eredményszemlélketű bevételek</t>
  </si>
  <si>
    <t>Pénzügyi műveletek egyéb eredmény szemléletű bevételei</t>
  </si>
  <si>
    <t>VIII</t>
  </si>
  <si>
    <t>Pénzügyi műveletek eredményszemléletű bevételei</t>
  </si>
  <si>
    <t>Fizetendő kamatok és kamatjellegű ráfordítások</t>
  </si>
  <si>
    <t>Pénzügyi műveletek ergyéb ráfordíatásai</t>
  </si>
  <si>
    <t>IX</t>
  </si>
  <si>
    <t>Pénzügyi műúveletek ráfordíatásai</t>
  </si>
  <si>
    <t>B)</t>
  </si>
  <si>
    <t>Pénzügyi műveletek eredménye</t>
  </si>
  <si>
    <t>C)</t>
  </si>
  <si>
    <t>MÉRLEG SZERINTI EREDMÉNY</t>
  </si>
  <si>
    <t>Zalakaros Óvoda és Bölcsőde</t>
  </si>
  <si>
    <t>Zalakaros Város Összesen</t>
  </si>
  <si>
    <t>01 Alaptevékenység költségvetési bevételei</t>
  </si>
  <si>
    <t>02 Alaptevékenység költségvetési kiadásai</t>
  </si>
  <si>
    <t>I. Alaptevékenység költségvetési egyenlege (=01-02)</t>
  </si>
  <si>
    <t>03 Alaptevékenység finanszírtozási bevételei</t>
  </si>
  <si>
    <t>04 Alaptevékenység finqanszírozási kiadásai</t>
  </si>
  <si>
    <t>II Alaptevékenység finanszírozási egyenlege(=03-04)</t>
  </si>
  <si>
    <t>A) ALAPTEVÉKENYSÉG MARADVÁNYA(I+II)</t>
  </si>
  <si>
    <t>05 Vállalkozási tevékenység költségvetési bevételei</t>
  </si>
  <si>
    <t>06 Vállalkozási tevékenység költségvetési kiadásai</t>
  </si>
  <si>
    <t>III Vállalkozási tevékenység költségvetési egyenlege (=05-06)</t>
  </si>
  <si>
    <t>07 Vállalkozási tevékenység finanszírozási bevételei</t>
  </si>
  <si>
    <t>08 Vállalkozási tevékenység finanszírozási kiadásai</t>
  </si>
  <si>
    <t>IV Vállalkozási tevékenység finanszírozási egyenlege (=07-08)</t>
  </si>
  <si>
    <t>B) VÁLLALKOZÁSI TEVÉKENYSÉG MARADVÁNYA (III+IV)</t>
  </si>
  <si>
    <t>C) ÖSSZES MARADVÁNY (=A+B)</t>
  </si>
  <si>
    <t>D) Alaptevékenység kötelezettségvállalással terhelt maradványa</t>
  </si>
  <si>
    <t>E)Alaptevékenység szabad maradványa (=A-D)</t>
  </si>
  <si>
    <t>F) Vállalkozási tevékenységet terhelő befizetési kötelezettség (B*0,1)</t>
  </si>
  <si>
    <t>G) Vállalkozási tevékenység felhasználható maradványa (=B-F)</t>
  </si>
  <si>
    <t>Maradványelszámolás szerint</t>
  </si>
  <si>
    <t>Kötelezettséggel terhelt maradvány</t>
  </si>
  <si>
    <t>Kötelezettséggel terhelt maradvány összesen:</t>
  </si>
  <si>
    <t>Elvonás</t>
  </si>
  <si>
    <t>Maradvány összesen:</t>
  </si>
  <si>
    <t>Nyitó pénzkészlet összesen:</t>
  </si>
  <si>
    <t>Költségvetési bevételek:</t>
  </si>
  <si>
    <t>Finanszírozási bevételek:</t>
  </si>
  <si>
    <t>Bevételek összesen:</t>
  </si>
  <si>
    <t>- maradvány igénybevétele</t>
  </si>
  <si>
    <t>- adott előlegek</t>
  </si>
  <si>
    <t xml:space="preserve">- egyéb sajátos eszközoldali elszámolások </t>
  </si>
  <si>
    <t>Költségvetési kiadások:</t>
  </si>
  <si>
    <t>Finanszírozási kiadások:</t>
  </si>
  <si>
    <t xml:space="preserve">- kapott előlegek </t>
  </si>
  <si>
    <t xml:space="preserve">- egyéb sajátos forrásoldali elszámolások </t>
  </si>
  <si>
    <t>Zalakaros Város Önkormányzat adósságot keletkeztető ügyleteiből eredő fizetési kötelezettség bemutatása</t>
  </si>
  <si>
    <t>sorsz.</t>
  </si>
  <si>
    <t>2019.évi terv</t>
  </si>
  <si>
    <t>2020.évi   terv</t>
  </si>
  <si>
    <t>2021.évi terv</t>
  </si>
  <si>
    <t>összesen</t>
  </si>
  <si>
    <t>Helyi adók</t>
  </si>
  <si>
    <t>Díjak, pótlékok, bírságok</t>
  </si>
  <si>
    <t>Tárgyi eszközök, immateriális javak, vagyoni értékű jog értékesítés, vagyonhasznosításból származó bevétel</t>
  </si>
  <si>
    <t>Részvények, részesedések értékesítése</t>
  </si>
  <si>
    <t>Vállalalt értékesítésből, privatizációból származó bevételek</t>
  </si>
  <si>
    <t>Kezességvállalással kapcsolatos megtérülés</t>
  </si>
  <si>
    <t>Saját bevételek</t>
  </si>
  <si>
    <t>Saját bevételek 50%-a</t>
  </si>
  <si>
    <t>Előző évben keletkezett tárgyévet terhelő fizetési kötelezettség</t>
  </si>
  <si>
    <t>Felvett, átvállalt hitelből adódó fizetési kötelezettség</t>
  </si>
  <si>
    <t>Felvett, átvállalt kölcsön és annak tőketartozása</t>
  </si>
  <si>
    <t>Hitelviszonyt megtestesítő értékpapír</t>
  </si>
  <si>
    <t>Adott váltó</t>
  </si>
  <si>
    <t>Pénzügyi lízing</t>
  </si>
  <si>
    <t>1./ Karos Park Ft árokásó géplizingelése (100 % tul.cég)</t>
  </si>
  <si>
    <t>Halasztott fizetés</t>
  </si>
  <si>
    <t>Kezességvállalásból eredő fizetési kötelezettség</t>
  </si>
  <si>
    <t>Tárgyévben keletkezett, illetve keletkező, tárgyévet terhelő fizetési kötelezettség</t>
  </si>
  <si>
    <t>Felvett, átvállalt hitel és annak tőketartozása, kamata</t>
  </si>
  <si>
    <t>Fizetési kötelezettség összesen</t>
  </si>
  <si>
    <t>Fizetési kötelezettséggel csökkentett saját bevétel</t>
  </si>
  <si>
    <t>Gazdasági szervezet</t>
  </si>
  <si>
    <t>Jegyzett tőke Ft</t>
  </si>
  <si>
    <t>Önkormányzat részesedése</t>
  </si>
  <si>
    <t>Bekerülési érték Ft</t>
  </si>
  <si>
    <t>Könyv szerinti érték Ft</t>
  </si>
  <si>
    <t>%</t>
  </si>
  <si>
    <t>Gránit gyógyfürdő Zrt</t>
  </si>
  <si>
    <t>Karos-Park Kft</t>
  </si>
  <si>
    <t>Délzalai Víz-és Csatornamű Zrt</t>
  </si>
  <si>
    <t>Zalakarosi Turisztikai Nonprofit Kft.</t>
  </si>
  <si>
    <t>01 - K1-K8. Költségvetési kiadások</t>
  </si>
  <si>
    <t>Eredeti előirányzat</t>
  </si>
  <si>
    <t>Módosított előirányzat</t>
  </si>
  <si>
    <t>Kötelezettségvállalás, más fizetési kötelezettség - Költségvetési évben esedékes</t>
  </si>
  <si>
    <t>Kötelezettségvállalás, más fizetési kötelezettség - Költségvetési évben esedékes végleges</t>
  </si>
  <si>
    <t>Kötelezettségvállalás, más fizetési kötelezettség - Költségvetési évet követően esedékes</t>
  </si>
  <si>
    <t>Kötelezettségvállalás, más fizetési kötelezettség - Költségvetési évet követően esedékes végleges</t>
  </si>
  <si>
    <t>Teljesítés</t>
  </si>
  <si>
    <t>01</t>
  </si>
  <si>
    <t>Törvény szerinti illetmények, munkabérek (K1101)</t>
  </si>
  <si>
    <t>02</t>
  </si>
  <si>
    <t>Normatív jutalmak (K1102)</t>
  </si>
  <si>
    <t>04</t>
  </si>
  <si>
    <t>Készenléti, ügyeleti, helyettesítési díj, túlóra, túlszolgálat (K1104)</t>
  </si>
  <si>
    <t>06</t>
  </si>
  <si>
    <t>Jubileumi jutalom (K1106)</t>
  </si>
  <si>
    <t>07</t>
  </si>
  <si>
    <t>Béren kívüli juttatások (K1107)</t>
  </si>
  <si>
    <t>09</t>
  </si>
  <si>
    <t>Közlekedési költségtérítés (K1109)</t>
  </si>
  <si>
    <t>10</t>
  </si>
  <si>
    <t>Egyéb költségtérítések (K1110)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</si>
  <si>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</si>
  <si>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</si>
  <si>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</si>
  <si>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</si>
  <si>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</si>
  <si>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</si>
  <si>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</si>
  <si>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</si>
  <si>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</si>
  <si>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</si>
  <si>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</si>
  <si>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</si>
  <si>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</si>
  <si>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</si>
  <si>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</si>
  <si>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</si>
  <si>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</si>
  <si>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</si>
  <si>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23</t>
  </si>
  <si>
    <t>ebből: rehabilitációs hozzájárulás (K2)</t>
  </si>
  <si>
    <t>24</t>
  </si>
  <si>
    <t>ebből: egészségügyi hozzájárulás (K2)</t>
  </si>
  <si>
    <t>25</t>
  </si>
  <si>
    <t>ebből: táppénz hozzájárulás (K2)</t>
  </si>
  <si>
    <t>26</t>
  </si>
  <si>
    <t>ebből: munkaadót a foglalkoztatottak részére történő kifizetésekkel kapcsolatban terhelő más járulék jellegű kötelezettségek (K2)</t>
  </si>
  <si>
    <t>27</t>
  </si>
  <si>
    <t>ebből: munkáltatót terhelő személyi jövedelemadó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</si>
  <si>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</si>
  <si>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</si>
  <si>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</si>
  <si>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</si>
  <si>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</si>
  <si>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</si>
  <si>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</si>
  <si>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</si>
  <si>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</si>
  <si>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</si>
  <si>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</si>
  <si>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</si>
  <si>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</si>
  <si>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</si>
  <si>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</si>
  <si>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</si>
  <si>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</si>
  <si>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</si>
  <si>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</si>
  <si>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</si>
  <si>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40</t>
  </si>
  <si>
    <t>Közvetített szolgáltatások  (&gt;=41) (K335)</t>
  </si>
  <si>
    <t>41</t>
  </si>
  <si>
    <t>ebből: államháztartáson belül (K335)</t>
  </si>
  <si>
    <t>42</t>
  </si>
  <si>
    <t>Szakmai tevékenységet segítő szolgáltatások  (K336)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</si>
  <si>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</si>
  <si>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</si>
  <si>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</si>
  <si>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</si>
  <si>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</si>
  <si>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</si>
  <si>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</si>
  <si>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</si>
  <si>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47</t>
  </si>
  <si>
    <t>Reklám- és propagandakiadások (K342)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</si>
  <si>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</si>
  <si>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</si>
  <si>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</si>
  <si>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</si>
  <si>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50</t>
  </si>
  <si>
    <t>Fizetendő általános forgalmi adó  (K352)</t>
  </si>
  <si>
    <t>51</t>
  </si>
  <si>
    <t>Kamatkiadások (&gt;=52+53) (K353)</t>
  </si>
  <si>
    <t>54</t>
  </si>
  <si>
    <t>Egyéb pénzügyi műveletek kiadásai (&gt;=55+…+57) (K354)</t>
  </si>
  <si>
    <t>55</t>
  </si>
  <si>
    <t>ebből: valuta, deviza eszközök realizált árfolyamvesztesége (K354)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</si>
  <si>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</si>
  <si>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</si>
  <si>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</si>
  <si>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</si>
  <si>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</si>
  <si>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</si>
  <si>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</si>
  <si>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Családi támogatások (=63+…+72) (K42)</t>
  </si>
  <si>
    <t>72</t>
  </si>
  <si>
    <t>ebből: az egyéb pénzbeli és természetbeni gyermekvédelmi támogatások  (K42)</t>
  </si>
  <si>
    <t>98</t>
  </si>
  <si>
    <t>Egyéb nem intézményi ellátások (&gt;=99+…+117) (K48)</t>
  </si>
  <si>
    <t>113</t>
  </si>
  <si>
    <t>ebből: egyéb, az önkormányzat rendeletében megállapított juttatás (K48)</t>
  </si>
  <si>
    <t>115</t>
  </si>
  <si>
    <t>ebből: települési támogatás [Szoctv. 45. §], (K48)</t>
  </si>
  <si>
    <t>118</t>
  </si>
  <si>
    <t>Ellátottak pénzbeli juttatásai (=61+62+73+74+83+92+95+98) (K4)</t>
  </si>
  <si>
    <t>123</t>
  </si>
  <si>
    <t>Egyéb elvonások, befizetések (K5023)</t>
  </si>
  <si>
    <t>124</t>
  </si>
  <si>
    <t>Elvonások és befizetések (=121+122+123) (K502)</t>
  </si>
  <si>
    <t>148</t>
  </si>
  <si>
    <t>Egyéb működési célú támogatások államháztartáson belülre (=149+…+158) (K506)</t>
  </si>
  <si>
    <t>149</t>
  </si>
  <si>
    <t>ebből: központi költségvetési szervek (K506)</t>
  </si>
  <si>
    <t>155</t>
  </si>
  <si>
    <t>ebből: helyi önkormányzatok és költségvetési szerveik (K506)</t>
  </si>
  <si>
    <t>156</t>
  </si>
  <si>
    <t>ebből: társulások és költségvetési szerveik (K506)</t>
  </si>
  <si>
    <t>161</t>
  </si>
  <si>
    <t>Működési célú visszatérítendő támogatások, kölcsönök nyújtása államháztartáson kívülre (=162+…+172) (K508)</t>
  </si>
  <si>
    <t>165</t>
  </si>
  <si>
    <t>ebből: háztartások (K508)</t>
  </si>
  <si>
    <t>176</t>
  </si>
  <si>
    <t>Egyéb működési célú támogatások államháztartáson kívülre (=177+…+186) (K512)</t>
  </si>
  <si>
    <t>179</t>
  </si>
  <si>
    <t>ebből: egyéb civil szervezetek (K512)</t>
  </si>
  <si>
    <t>181</t>
  </si>
  <si>
    <t>ebből: pénzügyi vállalkozások (K512)</t>
  </si>
  <si>
    <t>183</t>
  </si>
  <si>
    <t>ebből: önkormányzati többségi tulajdonú nem pénzügyi vállalkozások (K512)</t>
  </si>
  <si>
    <t>187</t>
  </si>
  <si>
    <t>Tartalékok (K513)</t>
  </si>
  <si>
    <t>188</t>
  </si>
  <si>
    <t>Egyéb működési célú kiadások (=119+124+125+126+137+148+159+161+173+174+175+176+187) (K5)</t>
  </si>
  <si>
    <t>189</t>
  </si>
  <si>
    <t>Immateriális javak beszerzése, létesítése (K61)</t>
  </si>
  <si>
    <t>190</t>
  </si>
  <si>
    <t>Ingatlanok beszerzése, létesítése (&gt;=191) (K62)</t>
  </si>
  <si>
    <t>192</t>
  </si>
  <si>
    <t>Informatikai eszközök beszerzése, létesítése (K63)</t>
  </si>
  <si>
    <t>193</t>
  </si>
  <si>
    <t>Egyéb tárgyi eszközök beszerzése, létesítése (K64)</t>
  </si>
  <si>
    <t>196</t>
  </si>
  <si>
    <t>Beruházási célú előzetesen felszámított általános forgalmi adó (K67)</t>
  </si>
  <si>
    <t>197</t>
  </si>
  <si>
    <t>Beruházások (=189+190+192+…+196) (K6)</t>
  </si>
  <si>
    <t>198</t>
  </si>
  <si>
    <t>Ingatlanok felújítása (K71)</t>
  </si>
  <si>
    <t>200</t>
  </si>
  <si>
    <t>Egyéb tárgyi eszközök felújítása  (K73)</t>
  </si>
  <si>
    <t>201</t>
  </si>
  <si>
    <t>Felújítási célú előzetesen felszámított általános forgalmi adó (K74)</t>
  </si>
  <si>
    <t>202</t>
  </si>
  <si>
    <t>Felújítások (=198+...+201) (K7)</t>
  </si>
  <si>
    <t>226</t>
  </si>
  <si>
    <t>Egyéb felhalmozási célú támogatások államháztartáson belülre (=227+…+236) (K84)</t>
  </si>
  <si>
    <t>239</t>
  </si>
  <si>
    <t>Felhalmozási célú visszatérítendő támogatások, kölcsönök nyújtása államháztartáson kívülre (=240+…+250) (K86)</t>
  </si>
  <si>
    <t>243</t>
  </si>
  <si>
    <t>ebből: háztartások (K86)</t>
  </si>
  <si>
    <t>251</t>
  </si>
  <si>
    <t>Lakástámogatás (K87)</t>
  </si>
  <si>
    <t>253</t>
  </si>
  <si>
    <t>Egyéb felhalmozási célú támogatások államháztartáson kívülre (=254+…+263) (K89)</t>
  </si>
  <si>
    <t>260</t>
  </si>
  <si>
    <t>ebből: önkormányzati többségi tulajdonú nem pénzügyi vállalkozások (K89)</t>
  </si>
  <si>
    <t>264</t>
  </si>
  <si>
    <t>Egyéb felhalmozási célú kiadások (=203+204+215+226+237+239+251+252+253) (K8)</t>
  </si>
  <si>
    <t>265</t>
  </si>
  <si>
    <t>Költségvetési kiadások (=20+21+60+118+188+197+202+264) (K1-K8)</t>
  </si>
  <si>
    <t>Követelés - Költségvetési évben esedékes</t>
  </si>
  <si>
    <t>Követelés - Költségvetési évet követően esedékes</t>
  </si>
  <si>
    <t>Helyi önkormányzatok működésének általános támogatása (B111)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</si>
  <si>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</si>
  <si>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</si>
  <si>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</si>
  <si>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Települési önkormányzatok kulturális feladatainak támogatása (B114)</t>
  </si>
  <si>
    <t>05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</si>
  <si>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</si>
  <si>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</si>
  <si>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</si>
  <si>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08</t>
  </si>
  <si>
    <t>Elvonások és befizetések bevételei (B12)</t>
  </si>
  <si>
    <t>Egyéb működési célú támogatások bevételei államháztartáson belülről (=33+…+42)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</si>
  <si>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</si>
  <si>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</si>
  <si>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</si>
  <si>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</si>
  <si>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38</t>
  </si>
  <si>
    <t>ebből: elkülönített állami pénzalapok (B16)</t>
  </si>
  <si>
    <t>ebből: helyi önkormányzatok és költségvetési szerveik (B16)</t>
  </si>
  <si>
    <t>Működési célú támogatások államháztartáson belülről (=07+...+10+21+32) (B1)</t>
  </si>
  <si>
    <t>Felhalmozási célú önkormányzati támogatások (B21)</t>
  </si>
  <si>
    <t>68</t>
  </si>
  <si>
    <t>Egyéb felhalmozási célú támogatások bevételei államháztartáson belülről (=69+…+78) (B25)</t>
  </si>
  <si>
    <t>71</t>
  </si>
  <si>
    <t>ebből: fejezeti kezelésű előirányzatok EU-s programokra és azok hazai társfinanszírozása (B25)</t>
  </si>
  <si>
    <t>79</t>
  </si>
  <si>
    <t>Felhalmozási célú támogatások államháztartáson belülről (=44+45+46+57+68) (B2)</t>
  </si>
  <si>
    <t>109</t>
  </si>
  <si>
    <t>Vagyoni tipusú adók (=110+…+115) (B34)</t>
  </si>
  <si>
    <t>110</t>
  </si>
  <si>
    <t>ebből: építményadó  (B34)</t>
  </si>
  <si>
    <t>111</t>
  </si>
  <si>
    <t>ebből: magánszemélyek kommunális adója (B34)</t>
  </si>
  <si>
    <t>116</t>
  </si>
  <si>
    <t>Értékesítési és forgalmi adók (=117+…+138) (B351)</t>
  </si>
  <si>
    <t>ebből: állandó jelleggel végzett iparűzési tevékenység után fizetett helyi iparűzési adó (B351)</t>
  </si>
  <si>
    <t>144</t>
  </si>
  <si>
    <t>Gépjárműadók (=145+…+148) (B354)</t>
  </si>
  <si>
    <t>146</t>
  </si>
  <si>
    <t>ebből: belföldi gépjárművek adójának a helyi önkormányzatot megillető része (B354)</t>
  </si>
  <si>
    <t>Egyéb áruhasználati és szolgáltatási adók  (=150+…+166) (B355)</t>
  </si>
  <si>
    <t>157</t>
  </si>
  <si>
    <t>ebből: tartózkodás után fizetett idegenforgalmi adó  (B355)</t>
  </si>
  <si>
    <t>167</t>
  </si>
  <si>
    <t>Termékek és szolgáltatások adói (=116+139+143+144+149)  (B35)</t>
  </si>
  <si>
    <t>168</t>
  </si>
  <si>
    <t>Egyéb közhatalmi bevételek (&gt;=169+…+185) (B36)</t>
  </si>
  <si>
    <t>175</t>
  </si>
  <si>
    <t>ebből: környezetvédelmi bírság (B36)</t>
  </si>
  <si>
    <t>ebből: szabálysértési pénz- és helyszíni bírság és a közlekedési szabályszegések után kiszabott közigazgatási bírság helyi önkormányzatot megillető része (B36)</t>
  </si>
  <si>
    <t>ebből: egyéb települési adók (B36)</t>
  </si>
  <si>
    <t>186</t>
  </si>
  <si>
    <t>Közhatalmi bevételek (=93+94+104+109+167+168) (B3)</t>
  </si>
  <si>
    <t>Szolgáltatások ellenértéke (&gt;=189+190) (B402)</t>
  </si>
  <si>
    <t>ebből:tárgyi eszközök bérbeadásából származó bevétel (B402)</t>
  </si>
  <si>
    <t>191</t>
  </si>
  <si>
    <t>Közvetített szolgáltatások ellenértéke  (&gt;=192) (B403)</t>
  </si>
  <si>
    <t>ebből: államháztartáson belül (B403)</t>
  </si>
  <si>
    <t>Tulajdonosi bevételek (&gt;=194+…+199) (B404)</t>
  </si>
  <si>
    <t>195</t>
  </si>
  <si>
    <t>ebből: önkormányzati vagyon üzemeltetéséből, koncesszióból származó bevétel (B404)</t>
  </si>
  <si>
    <t>199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</si>
  <si>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</si>
  <si>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</si>
  <si>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</si>
  <si>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</si>
  <si>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</si>
  <si>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</si>
  <si>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</si>
  <si>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</si>
  <si>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211</t>
  </si>
  <si>
    <t>Más egyéb pénzügyi műveletek bevételei (&gt;=212+216) (B4092)</t>
  </si>
  <si>
    <t>216</t>
  </si>
  <si>
    <t>ebből: valuta és deviza eszközök realizált árfolyamnyeresége (B4092)</t>
  </si>
  <si>
    <t>217</t>
  </si>
  <si>
    <t>Egyéb pénzügyi műveletek bevételei (=210+211) (B409)</t>
  </si>
  <si>
    <t>219</t>
  </si>
  <si>
    <t>Egyéb működési bevételek (&gt;=220+221) (B411)</t>
  </si>
  <si>
    <t>220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</si>
  <si>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</si>
  <si>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221</t>
  </si>
  <si>
    <t>ebből: kiadások visszatérítései (B411)</t>
  </si>
  <si>
    <t>222</t>
  </si>
  <si>
    <t>Működési bevételek (=187+188+191+193+200+…+202+209+217+218+219) (B4)</t>
  </si>
  <si>
    <t>225</t>
  </si>
  <si>
    <t>Ingatlanok értékesítése (&gt;=226) (B52)</t>
  </si>
  <si>
    <t>227</t>
  </si>
  <si>
    <t>Egyéb tárgyi eszközök értékesítése (B53)</t>
  </si>
  <si>
    <t>231</t>
  </si>
  <si>
    <t>Felhalmozási bevételek (=223+225+227+228+230) (B5)</t>
  </si>
  <si>
    <t>235</t>
  </si>
  <si>
    <t>Működési célú visszatérítendő támogatások, kölcsönök visszatérülése államháztartáson kívülről (=236+…+244) (B64)</t>
  </si>
  <si>
    <t>ebből: háztartások (B64)</t>
  </si>
  <si>
    <t>257</t>
  </si>
  <si>
    <t>Működési célú átvett pénzeszközök (=232+...+235+245) (B6)</t>
  </si>
  <si>
    <t>261</t>
  </si>
  <si>
    <t>Felhalmozási célú visszatérítendő támogatások, kölcsönök visszatérülése államháztartáson kívülről (=262+…+270) (B74)</t>
  </si>
  <si>
    <t>ebből: háztartások (B74)</t>
  </si>
  <si>
    <t>271</t>
  </si>
  <si>
    <t>Egyéb felhalmozási célú átvett pénzeszközök (=272+…+282) (B75)</t>
  </si>
  <si>
    <t>275</t>
  </si>
  <si>
    <t>ebből: háztartások (B75)</t>
  </si>
  <si>
    <t>279</t>
  </si>
  <si>
    <t>ebből: egyéb vállalkozások (B75)</t>
  </si>
  <si>
    <t>283</t>
  </si>
  <si>
    <t>Felhalmozási célú átvett pénzeszközök (=258+…+261+271) (B7)</t>
  </si>
  <si>
    <t>284</t>
  </si>
  <si>
    <t>Költségvetési bevételek (=43+79+186+222+231+257+283) (B1-B7)</t>
  </si>
  <si>
    <t>03 - K9. Finanszírozási kiadások</t>
  </si>
  <si>
    <t>Hosszú lejáratú hitelek, kölcsönök törlesztése pénzügyi vállalkozásnak (&gt;=02) (K9111)</t>
  </si>
  <si>
    <t>Hitel-, kölcsöntörlesztés államháztartáson kívülre (=01+03+04) (K911)</t>
  </si>
  <si>
    <t>Forgatási célú belföldi értékpapírok vásárlása (&gt;=08+09) (K9121)</t>
  </si>
  <si>
    <t>Belföldi értékpapírok kiadásai (=07+10+11+12+16+17) (K912)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</si>
  <si>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</si>
  <si>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</si>
  <si>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</si>
  <si>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Finanszírozási kiadások (=29+37+38+39) (K9)</t>
  </si>
  <si>
    <t>04 - B8. Finanszírozási bevételek</t>
  </si>
  <si>
    <t>Követelés  - Költségvetési évben esedékes</t>
  </si>
  <si>
    <t>Forgatási célú belföldi értékpapírok beváltása, értékesítése (&gt;=06+07) (B8121)</t>
  </si>
  <si>
    <t>11</t>
  </si>
  <si>
    <t>Belföldi értékpapírok bevételei (=05+08+09+10) (B812)</t>
  </si>
  <si>
    <t>12</t>
  </si>
  <si>
    <t>Előző év költségvetési maradványának igénybevétele (B8131)</t>
  </si>
  <si>
    <t>14</t>
  </si>
  <si>
    <t>Maradvány igénybevétele (=12+13) (B813)</t>
  </si>
  <si>
    <t>Államháztartáson belüli megelőlegezések (B814)</t>
  </si>
  <si>
    <t>Központi, irányító szervi támogatás (B816)</t>
  </si>
  <si>
    <t>Belföldi finanszírozás bevételei (=04+11+14+…+19+22) (B81)</t>
  </si>
  <si>
    <t>Finanszírozási bevételek (=23+29+30+31) (B8)</t>
  </si>
  <si>
    <t>07/A - Maradványkimutatás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</si>
  <si>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</si>
  <si>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</si>
  <si>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</si>
  <si>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</si>
  <si>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</si>
  <si>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</si>
  <si>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</si>
  <si>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</si>
  <si>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</si>
  <si>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D)        Alaptevékenység kötelezettségvállalással terhelt maradványa</t>
  </si>
  <si>
    <t>E)        Alaptevékenység szabad maradványa (=A-D)</t>
  </si>
  <si>
    <t>12/A - Mérleg</t>
  </si>
  <si>
    <t>Előző időszak</t>
  </si>
  <si>
    <t>Módosítások (+/-)</t>
  </si>
  <si>
    <t>Tárgyi időszak</t>
  </si>
  <si>
    <t>A/I/1 Vagyoni értékű jogok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</si>
  <si>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</si>
  <si>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</si>
  <si>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</si>
  <si>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</si>
  <si>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</si>
  <si>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</si>
  <si>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</si>
  <si>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</si>
  <si>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A/III/1e - ebből: egyéb tartós részesedések</t>
  </si>
  <si>
    <t>A/III Befektetett pénzügyi eszközök (=A/III/1+A/III/2+A/III/3)</t>
  </si>
  <si>
    <t>A) NEMZETI VAGYONBA TARTOZÓ BEFEKTETETT ESZKÖZÖK (=A/I+A/II+A/III+A/IV)</t>
  </si>
  <si>
    <t>B/I/1 Vásárolt készletek</t>
  </si>
  <si>
    <t>B/I Készletek (=B/I/1+…+B/I/5)</t>
  </si>
  <si>
    <t>B/II/2 Forgatási célú hitelviszonyt megtestesítő értékpapírok (&gt;=B/II/2a+…+B/II/2e)</t>
  </si>
  <si>
    <t>B/II/2b - ebből: kincstárjegyek</t>
  </si>
  <si>
    <t>B/II Értékpapírok (=B/II/1+B/II/2)</t>
  </si>
  <si>
    <t>B) NEMZETI VAGYONBA TARTOZÓ FORGÓESZKÖZÖK (= B/I+B/II)</t>
  </si>
  <si>
    <t>C/II/1 Forintpénztár</t>
  </si>
  <si>
    <t>C/II/2 Valutapénztár</t>
  </si>
  <si>
    <t>C/II Pénztárak, csekkek, betétkönyvek (=C/II/1+C/II/2+C/II/3)</t>
  </si>
  <si>
    <t>C/III/1 Kincstáron kívüli forintszámlák</t>
  </si>
  <si>
    <t>52</t>
  </si>
  <si>
    <t>C/III/2 Kincstárban vezetett forintszámlák</t>
  </si>
  <si>
    <t>53</t>
  </si>
  <si>
    <t>C/III Forintszámlák (=C/III/1+C/III/2)</t>
  </si>
  <si>
    <t>57</t>
  </si>
  <si>
    <t>C) PÉNZESZKÖZÖK (=C/I+…+C/IV)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</si>
  <si>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</si>
  <si>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</si>
  <si>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</si>
  <si>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</si>
  <si>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</si>
  <si>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</si>
  <si>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</si>
  <si>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</si>
  <si>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</si>
  <si>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</si>
  <si>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D/I/4c - ebből: költségvetési évben esedékes követelések ellátási díjakra</t>
  </si>
  <si>
    <t>73</t>
  </si>
  <si>
    <t>D/I/4d - ebből: költségvetési évben esedékes követelések kiszámlázott általános forgalmi adóra</t>
  </si>
  <si>
    <t>85</t>
  </si>
  <si>
    <t>D/I/6 Költségvetési évben esedékes követelések működési célú átvett pénzeszközre (&gt;=D/I/6a+D/I/6b+D/I/6c)</t>
  </si>
  <si>
    <t>88</t>
  </si>
  <si>
    <t>D/I/6c - ebből: költségvetési évben esedékes követelések működési célú visszatérítendő támogatások, kölcsönök visszatérülésére államháztartáson kívülről</t>
  </si>
  <si>
    <t>89</t>
  </si>
  <si>
    <t>D/I/7 Költségvetési évben esedékes követelések felhalmozási célú átvett pénzeszközre (&gt;=D/I/7a+D/I/7b+D/I/7c)</t>
  </si>
  <si>
    <t>92</t>
  </si>
  <si>
    <t>D/I/7c - ebből: költségvetési évben esedékes követelések felhalmozási célú visszatérítendő támogatások, kölcsönök visszatérülésére államháztartáson kívülről</t>
  </si>
  <si>
    <t>101</t>
  </si>
  <si>
    <t>D/I Költségvetési évben esedékes követelések (=D/I/1+…+D/I/8)</t>
  </si>
  <si>
    <t>129</t>
  </si>
  <si>
    <t>D/II/6 Költségvetési évet követően esedékes követelések működési célú átvett pénzeszközre (&gt;=D/II/6a+D/II/6b+D/II/6c)</t>
  </si>
  <si>
    <t>132</t>
  </si>
  <si>
    <t>D/II/6c - ebből: költségvetési évet követően esedékes követelések működési célú visszatérítendő támogatások, kölcsönök visszatérülésére államháztartáson kívülről</t>
  </si>
  <si>
    <t>133</t>
  </si>
  <si>
    <t>D/II/7 Költségvetési évet követően esedékes követelések felhalmozási célú átvett pénzeszközre (&gt;=D/II/7a+D/II/7b+D/II/7c)</t>
  </si>
  <si>
    <t>136</t>
  </si>
  <si>
    <t>D/II/7c - ebből: költségvetési évet követően esedékes követelések felhalmozási célú visszatérítendő támogatások, kölcsönök visszatérülésére államháztartáson kívülről</t>
  </si>
  <si>
    <t>142</t>
  </si>
  <si>
    <t>D/II Költségvetési évet követően esedékes követelések (=D/II/1+…+D/II/8)</t>
  </si>
  <si>
    <t>143</t>
  </si>
  <si>
    <t>D/III/1 Adott előlegek (=D/III/1a+…+D/III/1f)</t>
  </si>
  <si>
    <t>145</t>
  </si>
  <si>
    <t>D/III/1b - ebből: beruházásokra, felújításokra adott előlegek</t>
  </si>
  <si>
    <t>147</t>
  </si>
  <si>
    <t>D/III/1d - ebből: igénybe vett szolgáltatásra adott előlegek</t>
  </si>
  <si>
    <t>D/III/1e - ebből: foglalkoztatottaknak adott előlegek</t>
  </si>
  <si>
    <t>152</t>
  </si>
  <si>
    <t>158</t>
  </si>
  <si>
    <t>D/III Követelés jellegű sajátos elszámolások (=D/III/1+…+D/III/9)</t>
  </si>
  <si>
    <t>159</t>
  </si>
  <si>
    <t>D) KÖVETELÉSEK  (=D/I+D/II+D/III)</t>
  </si>
  <si>
    <t>E/I/2 Más előzetesen felszámított levonható általános forgalmi adó</t>
  </si>
  <si>
    <t>162</t>
  </si>
  <si>
    <t>E/I/3 Adott előleghez kapcsolódó előzetesen felszámított nem levonható általános forgalmi adó</t>
  </si>
  <si>
    <t>164</t>
  </si>
  <si>
    <t>E/I Előzetesen felszámított általános forgalmi adó elszámolása (=E/I/1+…+E/I/4)</t>
  </si>
  <si>
    <t>166</t>
  </si>
  <si>
    <t>E/II/2 Más fizetendő általános forgalmi adó</t>
  </si>
  <si>
    <t>E/II Fizetendő általános forgalmi adó elszámolása (=E/II/1+E/II/2)</t>
  </si>
  <si>
    <t>169</t>
  </si>
  <si>
    <t>E/III/2 Utalványok, bérletek és más hasonló, készpénz-helyettesítő fizetési eszköznek nem minősülő eszközök elszámolásai</t>
  </si>
  <si>
    <t>170</t>
  </si>
  <si>
    <t>E/III Egyéb sajátos eszközoldali elszámolások (=E/III/1+E/III/2)</t>
  </si>
  <si>
    <t>171</t>
  </si>
  <si>
    <t>E) EGYÉB SAJÁTOS ELSZÁMOLÁSOK (=E/I+E/II+E/III)</t>
  </si>
  <si>
    <t>173</t>
  </si>
  <si>
    <t>F/2 Költségek, ráfordítások aktív időbeli elhatárolása</t>
  </si>
  <si>
    <t>F) AKTÍV IDŐBELI  ELHATÁROLÁSOK  (=F/1+F/2+F/3)</t>
  </si>
  <si>
    <t>ESZKÖZÖK ÖSSZESEN (=A+B+C+D+E+F)</t>
  </si>
  <si>
    <t>177</t>
  </si>
  <si>
    <t>178</t>
  </si>
  <si>
    <t>G/II Nemzeti vagyon változásai</t>
  </si>
  <si>
    <t>180</t>
  </si>
  <si>
    <t>G/IV Felhalmozott eredmény</t>
  </si>
  <si>
    <t>182</t>
  </si>
  <si>
    <t>G/VI Mérleg szerinti eredmény</t>
  </si>
  <si>
    <t>G/ SAJÁT TŐKE  (= G/I+…+G/VI)</t>
  </si>
  <si>
    <t>H/I/3 Költségvetési évben esedékes kötelezettségek dologi kiadásokra</t>
  </si>
  <si>
    <t>H/I/6 Költségvetési évben esedékes kötelezettségek beruházásokra</t>
  </si>
  <si>
    <t>H/I/8 Költségvetési évben esedékes kötelezettségek egyéb felhalmozási célú kiadásokra (&gt;=H/I/8a+H/I/8b)</t>
  </si>
  <si>
    <t>H/I/9 Költségvetési évben esedékes kötelezettségek finanszírozási kiadásokra (&gt;=H/I/9a+…+H/I/9l)</t>
  </si>
  <si>
    <t>203</t>
  </si>
  <si>
    <t>H/I/9g - ebből: költségvetési évben esedékes kötelezettségek államháztartáson belüli megelőlegezések visszafizetésére</t>
  </si>
  <si>
    <t>H/I Költségvetési évben esedékes kötelezettségek (=H/I/1+…+H/I/9)</t>
  </si>
  <si>
    <t>H/II/9 Költségvetési évet követően esedékes kötelezettségek finanszírozási kiadásokra (&gt;=H/II/9a+…+H/II/9j)</t>
  </si>
  <si>
    <t>223</t>
  </si>
  <si>
    <t>H/II/9a - ebből: költségvetési évet követően esedékes kötelezettségek hosszú lejáratú hitelek, kölcsönök törlesztésére pénzügyi vállalkozásnak</t>
  </si>
  <si>
    <t>H/II/9e - ebből: költségvetési évet követően esedékes kötelezettségek államháztartáson belüli megelőlegezések visszafizetésére</t>
  </si>
  <si>
    <t>233</t>
  </si>
  <si>
    <t>H/II Költségvetési évet követően esedékes kötelezettségek (=H/II/1+…+H/II/9)</t>
  </si>
  <si>
    <t>234</t>
  </si>
  <si>
    <t>240</t>
  </si>
  <si>
    <t>H/III/8 Letétre, megőrzésre, fedezetkezelésre átvett pénzeszközök, biztosítékok</t>
  </si>
  <si>
    <t>H/III Kötelezettség jellegű sajátos elszámolások (=H/III/1+…+H/III/10)</t>
  </si>
  <si>
    <t>244</t>
  </si>
  <si>
    <t>H) KÖTELEZETTSÉGEK (=H/I+H/II+H/III)</t>
  </si>
  <si>
    <t>246</t>
  </si>
  <si>
    <t>J/1 Eredményszemléletű bevételek passzív időbeli elhatárolása</t>
  </si>
  <si>
    <t>247</t>
  </si>
  <si>
    <t>J/2 Költségek, ráfordítások passzív időbeli elhatárolása</t>
  </si>
  <si>
    <t>248</t>
  </si>
  <si>
    <t>249</t>
  </si>
  <si>
    <t>J) PASSZÍV IDŐBELI ELHATÁROLÁSOK (=J/1+J/2+J/3)</t>
  </si>
  <si>
    <t>250</t>
  </si>
  <si>
    <t>FORRÁSOK ÖSSZESEN (=G+H+I+J)</t>
  </si>
  <si>
    <t>13/A - Eredménykimutatás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</si>
  <si>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</si>
  <si>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</si>
  <si>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</si>
  <si>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</si>
  <si>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</si>
  <si>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</si>
  <si>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</si>
  <si>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</si>
  <si>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</si>
  <si>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</si>
  <si>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</si>
  <si>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</si>
  <si>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</si>
  <si>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</si>
  <si>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</si>
  <si>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</si>
  <si>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</si>
  <si>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</si>
  <si>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</si>
  <si>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</si>
  <si>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</si>
  <si>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</si>
  <si>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</si>
  <si>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</si>
  <si>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VIII Pénzügyi műveletek eredményszemléletű bevételei (=17+18+19+20+21)</t>
  </si>
  <si>
    <t>24 Fizetendő kamatok és kamatjellegű ráfordítások</t>
  </si>
  <si>
    <t>26 Pénzügyi műveletek egyéb ráfordításai (&gt;=26a+26b)</t>
  </si>
  <si>
    <t>IX Pénzügyi műveletek ráfordításai (=22+23+24+25+26)</t>
  </si>
  <si>
    <t>B)  PÉNZÜGYI MŰVELETEK EREDMÉNYE (=VIII-IX)</t>
  </si>
  <si>
    <t>C)  MÉRLEG SZERINTI EREDMÉNY (=±A±B)</t>
  </si>
  <si>
    <t>KIMUTATÁS</t>
  </si>
  <si>
    <t>ssz</t>
  </si>
  <si>
    <t>Támogatás összege</t>
  </si>
  <si>
    <t>Felhasználás célja</t>
  </si>
  <si>
    <t>Felhasznált összeg</t>
  </si>
  <si>
    <t>Visszafizetési kötezettség</t>
  </si>
  <si>
    <t>Sport célú támogatások</t>
  </si>
  <si>
    <t>Zalakaros  Sportjáért Közh. Közalapítvány (Tao labdarúgás, TAO utánpótlás költségeinek támogatása)</t>
  </si>
  <si>
    <t>Személyszállítás</t>
  </si>
  <si>
    <t>Felhasználás összesen</t>
  </si>
  <si>
    <t>Könyvelői díj</t>
  </si>
  <si>
    <t>Zalakaros  Sportjáért Közh. Közalapítvány (felnőtt megyei 3. osztályú labdarúgó csapat működési költségeinek támogatása)</t>
  </si>
  <si>
    <t>Megbízási díj járulékokkal</t>
  </si>
  <si>
    <t>Sportorvosi vizsgálat</t>
  </si>
  <si>
    <t>Étkezés, ital  mérkőzéseken</t>
  </si>
  <si>
    <t>Versenyengedély, versenyeztetési díj, nevezési díj</t>
  </si>
  <si>
    <t>Sporteszköz, ruházat vásárlás</t>
  </si>
  <si>
    <t>Személyszállítás mérkőzésekre</t>
  </si>
  <si>
    <t>Zalakaros Sportjáért Közh. Közalapítvány összesen</t>
  </si>
  <si>
    <t>Kanizsa Diákkorsárlabda Klub</t>
  </si>
  <si>
    <t>Karos Sprint Úszóklub</t>
  </si>
  <si>
    <t>Úszásoktatás edzői díj</t>
  </si>
  <si>
    <t xml:space="preserve">Uszodahasználati díj </t>
  </si>
  <si>
    <t>Felhasználás összesen:</t>
  </si>
  <si>
    <t>Zalakaros  és Térsége SE</t>
  </si>
  <si>
    <t>Étkezés, ital mérkőzéseken</t>
  </si>
  <si>
    <t>Posta- és bankköltség, könyvelési díj</t>
  </si>
  <si>
    <t>Terembérleti díj</t>
  </si>
  <si>
    <t>Sensei Németh Budo Akadémia Sportegy.</t>
  </si>
  <si>
    <t>Önkéntes Tűzoltó Egyesület</t>
  </si>
  <si>
    <t>Tűzoltó autó fenntartási költségei (biztosítás, műszaki vizsga, üzemanyag)</t>
  </si>
  <si>
    <t>Felszerelés pótlás, egyéb</t>
  </si>
  <si>
    <t>Polgárőr Egyesület</t>
  </si>
  <si>
    <t>Gépjármű fenntartás költsége (üzemanyag)</t>
  </si>
  <si>
    <t>Zalakaros Közbiztonságáért Közalapítvány</t>
  </si>
  <si>
    <t>Egyéb célú támogatások összesen</t>
  </si>
  <si>
    <t>összesen I-II.</t>
  </si>
  <si>
    <t>Ft-ban</t>
  </si>
  <si>
    <t>Zalakarosi Óvoda, Bölcsőde Közösségi Ház és Könyvtár</t>
  </si>
  <si>
    <t>Ezüst klub</t>
  </si>
  <si>
    <t>Szinházlátogatás</t>
  </si>
  <si>
    <t>Bottal-fogó néptánccsoport</t>
  </si>
  <si>
    <t>Dalárda-Vegyeskar</t>
  </si>
  <si>
    <t>Terembérlet</t>
  </si>
  <si>
    <t>Rügyecske Táncegyüttes</t>
  </si>
  <si>
    <t>Koreográfia vásárlás</t>
  </si>
  <si>
    <t>Ruházat vásárlás</t>
  </si>
  <si>
    <t>Búzavirág csoport</t>
  </si>
  <si>
    <t>Zöld Ág néptánccsoport</t>
  </si>
  <si>
    <t>Zalakarosi Női Kar</t>
  </si>
  <si>
    <t>Hangverseny látogatás (belépőjegy, utazási költség)</t>
  </si>
  <si>
    <t>Karos Fúvósegyüttes</t>
  </si>
  <si>
    <t>Intézmény összesen</t>
  </si>
  <si>
    <t>a nonprofit szervezeteknek 2018. évben nyújtott támogatásokról és felhasználásáról</t>
  </si>
  <si>
    <t>H/I/6 Költségvetési évben esed.kötelezetts.beruházásokra</t>
  </si>
  <si>
    <t>H/I/8 Költségvetési évben esed.kötelezetts.egyéb felhl.kiad.</t>
  </si>
  <si>
    <t>H/I/9 Költségvetési évben esed.kötelezetts.finanszírozási kiad.</t>
  </si>
  <si>
    <t>J/1 Eredményszemléletű bevételek passzív időb eli elhatár.</t>
  </si>
  <si>
    <t>tárgy időszak</t>
  </si>
  <si>
    <t>Befektetett pü.eszközökből származó eredményszermlletű bevétel</t>
  </si>
  <si>
    <t>39.</t>
  </si>
  <si>
    <t>Szabad felhasználású maradvány</t>
  </si>
  <si>
    <t>Gyógyhelyi központ kialakítás</t>
  </si>
  <si>
    <t>Arany János utca felújítása</t>
  </si>
  <si>
    <t>Belterületi út és járdafelújítás pályázatból (Petőfi utca járda)</t>
  </si>
  <si>
    <t>Államháztartáson belüli megelőlegezés rendezése</t>
  </si>
  <si>
    <t>Interreg kerékpárút pályázat kiadásaira</t>
  </si>
  <si>
    <t>Civil Ház korszerűsítés</t>
  </si>
  <si>
    <t>Vagyonkimutatás - 2018</t>
  </si>
  <si>
    <t>Értéktípus: Forint</t>
  </si>
  <si>
    <t>Előző év</t>
  </si>
  <si>
    <t>Tárgyév</t>
  </si>
  <si>
    <t>Index (%)</t>
  </si>
  <si>
    <t>1</t>
  </si>
  <si>
    <t>2</t>
  </si>
  <si>
    <t>3</t>
  </si>
  <si>
    <t>4</t>
  </si>
  <si>
    <t>5</t>
  </si>
  <si>
    <t>A/ NEMZETI VAGYONBA TARTOZÓ BEFEKTETETT ESZKÖZÖK</t>
  </si>
  <si>
    <t>102,84</t>
  </si>
  <si>
    <t>I. IMMATERIÁLIS JAVAK</t>
  </si>
  <si>
    <t>A/I</t>
  </si>
  <si>
    <t>4 800 376</t>
  </si>
  <si>
    <t>3 354 053</t>
  </si>
  <si>
    <t>69,87</t>
  </si>
  <si>
    <t>1. Vagyoni értékű jogok</t>
  </si>
  <si>
    <t>A/I/1</t>
  </si>
  <si>
    <t>362 895</t>
  </si>
  <si>
    <t>1 070 200</t>
  </si>
  <si>
    <t>294,91</t>
  </si>
  <si>
    <t>a) Forgalomképtelen törzsvagyon</t>
  </si>
  <si>
    <t>A/I/1/a</t>
  </si>
  <si>
    <t/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</si>
  <si>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</si>
  <si>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</si>
  <si>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</si>
  <si>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</si>
  <si>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</si>
  <si>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</si>
  <si>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</si>
  <si>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</si>
  <si>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4 437 481</t>
  </si>
  <si>
    <t>2 283 853</t>
  </si>
  <si>
    <t>51,47</t>
  </si>
  <si>
    <t>A/I/2/a</t>
  </si>
  <si>
    <t>A/I/2/b</t>
  </si>
  <si>
    <t>A/I/2/c</t>
  </si>
  <si>
    <t>4 928 481</t>
  </si>
  <si>
    <t>2 512 822</t>
  </si>
  <si>
    <t>50,99</t>
  </si>
  <si>
    <t>A/I/2/d</t>
  </si>
  <si>
    <t>-491 000</t>
  </si>
  <si>
    <t>-228 969</t>
  </si>
  <si>
    <t>46,63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</si>
  <si>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</si>
  <si>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</si>
  <si>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</si>
  <si>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</si>
  <si>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</si>
  <si>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</si>
  <si>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</si>
  <si>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</si>
  <si>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103,42</t>
  </si>
  <si>
    <t>1. Ingatlanok és kapcsolódó vagyoni értékű jogok</t>
  </si>
  <si>
    <t>A/II/1</t>
  </si>
  <si>
    <t>98,26</t>
  </si>
  <si>
    <t>A/II/1/a</t>
  </si>
  <si>
    <t>2 544 442 612</t>
  </si>
  <si>
    <t>2 461 443 507</t>
  </si>
  <si>
    <t>96,74</t>
  </si>
  <si>
    <t>A/II/1/b</t>
  </si>
  <si>
    <t>A/II/1/c</t>
  </si>
  <si>
    <t>1 275 543 654</t>
  </si>
  <si>
    <t>1 290 200 296</t>
  </si>
  <si>
    <t>101,15</t>
  </si>
  <si>
    <t>A/II/1/d</t>
  </si>
  <si>
    <t>98,72</t>
  </si>
  <si>
    <t>2. Gépek, berendezések, felszerelések, járművek</t>
  </si>
  <si>
    <t>A/II/2</t>
  </si>
  <si>
    <t>97 664 942</t>
  </si>
  <si>
    <t>83 653 627</t>
  </si>
  <si>
    <t>85,65</t>
  </si>
  <si>
    <t>A/II/2/a</t>
  </si>
  <si>
    <t>17 407 160</t>
  </si>
  <si>
    <t>100</t>
  </si>
  <si>
    <t>A/II/2/b</t>
  </si>
  <si>
    <t>A/II/2/c</t>
  </si>
  <si>
    <t>2 395 329</t>
  </si>
  <si>
    <t>2 818 034</t>
  </si>
  <si>
    <t>117,65</t>
  </si>
  <si>
    <t>A/II/2/d</t>
  </si>
  <si>
    <t>77 862 453</t>
  </si>
  <si>
    <t>63 428 433</t>
  </si>
  <si>
    <t>81,46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</si>
  <si>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</si>
  <si>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</si>
  <si>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</si>
  <si>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</si>
  <si>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</si>
  <si>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</si>
  <si>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</si>
  <si>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</si>
  <si>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24 998 231</t>
  </si>
  <si>
    <t>262 694 260</t>
  </si>
  <si>
    <t>1 050,85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</si>
  <si>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</si>
  <si>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</si>
  <si>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</si>
  <si>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</si>
  <si>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</si>
  <si>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</si>
  <si>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</si>
  <si>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</si>
  <si>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</si>
  <si>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</si>
  <si>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</si>
  <si>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</si>
  <si>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842 460 000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</si>
  <si>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</si>
  <si>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</si>
  <si>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</si>
  <si>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</si>
  <si>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</si>
  <si>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</si>
  <si>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</si>
  <si>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</si>
  <si>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</si>
  <si>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</si>
  <si>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</si>
  <si>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</si>
  <si>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</si>
  <si>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</si>
  <si>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</si>
  <si>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</si>
  <si>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</si>
  <si>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</si>
  <si>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</si>
  <si>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</si>
  <si>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</si>
  <si>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</si>
  <si>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</si>
  <si>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</si>
  <si>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</si>
  <si>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</si>
  <si>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</si>
  <si>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</si>
  <si>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</si>
  <si>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</si>
  <si>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</si>
  <si>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</si>
  <si>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</si>
  <si>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241 964 608</t>
  </si>
  <si>
    <t>2 209 952</t>
  </si>
  <si>
    <t>0,91</t>
  </si>
  <si>
    <t>I. Készletek</t>
  </si>
  <si>
    <t>B/I</t>
  </si>
  <si>
    <t>1 964 608</t>
  </si>
  <si>
    <t>112,49</t>
  </si>
  <si>
    <t>II. Értékpapírok</t>
  </si>
  <si>
    <t>B/II</t>
  </si>
  <si>
    <t>240 000 000</t>
  </si>
  <si>
    <t>C/ PÉNZESZKÖZÖK</t>
  </si>
  <si>
    <t>71 832 373</t>
  </si>
  <si>
    <t>1 014 118 052</t>
  </si>
  <si>
    <t>1 411,78</t>
  </si>
  <si>
    <t>I. Lekötött bankbetétek</t>
  </si>
  <si>
    <t>C/I</t>
  </si>
  <si>
    <t>II. Pénztárak, csekkek, betétkönyvek</t>
  </si>
  <si>
    <t>C/II</t>
  </si>
  <si>
    <t>550 552</t>
  </si>
  <si>
    <t>528 320</t>
  </si>
  <si>
    <t>95,96</t>
  </si>
  <si>
    <t>III. Forintszámlák</t>
  </si>
  <si>
    <t>C/III</t>
  </si>
  <si>
    <t>71 281 821</t>
  </si>
  <si>
    <t>1 013 589 732</t>
  </si>
  <si>
    <t>1 421,95</t>
  </si>
  <si>
    <t>IV. Devizaszámlák</t>
  </si>
  <si>
    <t>C/IV</t>
  </si>
  <si>
    <t>D/ KÖVETELÉSEK</t>
  </si>
  <si>
    <t>39 740 098</t>
  </si>
  <si>
    <t>41 135 081</t>
  </si>
  <si>
    <t>103,51</t>
  </si>
  <si>
    <t>I. Költségvetési évben esedékes követelések</t>
  </si>
  <si>
    <t>D/I</t>
  </si>
  <si>
    <t>20 265 864</t>
  </si>
  <si>
    <t>22 429 130</t>
  </si>
  <si>
    <t>110,67</t>
  </si>
  <si>
    <t>II. Költségvetési évet követően esedékes követelések</t>
  </si>
  <si>
    <t>D/II</t>
  </si>
  <si>
    <t>18 259 500</t>
  </si>
  <si>
    <t>17 814 416</t>
  </si>
  <si>
    <t>97,56</t>
  </si>
  <si>
    <t>III. Követelés jellegű sajátos elszámolások</t>
  </si>
  <si>
    <t>D/III</t>
  </si>
  <si>
    <t>1 214 734</t>
  </si>
  <si>
    <t>891 535</t>
  </si>
  <si>
    <t>73,39</t>
  </si>
  <si>
    <t>E/ EGYÉB SAJÁTOS ESZKÖZOLDALI ELSZÁMOLÁSOK</t>
  </si>
  <si>
    <t>E</t>
  </si>
  <si>
    <t>-1 244 000</t>
  </si>
  <si>
    <t>-13 717 258</t>
  </si>
  <si>
    <t>1 102,67</t>
  </si>
  <si>
    <t>F/ AKTÍV IDŐBELI ELHATÁROLÁSOK</t>
  </si>
  <si>
    <t>F</t>
  </si>
  <si>
    <t>160 208</t>
  </si>
  <si>
    <t>361 165</t>
  </si>
  <si>
    <t>225,44</t>
  </si>
  <si>
    <t>ESZKÖZÖK ÖSSZESEN</t>
  </si>
  <si>
    <t>A+..+F</t>
  </si>
  <si>
    <t>115,07</t>
  </si>
  <si>
    <t>G/ SAJÁT TŐKE</t>
  </si>
  <si>
    <t>G</t>
  </si>
  <si>
    <t>4 864 663 104</t>
  </si>
  <si>
    <t>5 075 818 154</t>
  </si>
  <si>
    <t>104,34</t>
  </si>
  <si>
    <t>I. Nemzeti vagyon induláskori értéke</t>
  </si>
  <si>
    <t>G/I</t>
  </si>
  <si>
    <t>6 536 639 379</t>
  </si>
  <si>
    <t>II. Nemzeti vagyon változásai</t>
  </si>
  <si>
    <t>G/II</t>
  </si>
  <si>
    <t>-256 707 851</t>
  </si>
  <si>
    <t>-227 486 567</t>
  </si>
  <si>
    <t>88,62</t>
  </si>
  <si>
    <t>III. Egyéb eszközök induláskori értéke és változásai</t>
  </si>
  <si>
    <t>G/III</t>
  </si>
  <si>
    <t>83 555 659</t>
  </si>
  <si>
    <t>IV. Felhalmozott eredmény</t>
  </si>
  <si>
    <t>G/IV</t>
  </si>
  <si>
    <t>-1 457 222 511</t>
  </si>
  <si>
    <t>-1 498 824 083</t>
  </si>
  <si>
    <t>102,85</t>
  </si>
  <si>
    <t>V. Eszközök értékhelyesbítésének forrása</t>
  </si>
  <si>
    <t>G/V</t>
  </si>
  <si>
    <t>VI. Mérleg szerinti eredmény</t>
  </si>
  <si>
    <t>G/VI</t>
  </si>
  <si>
    <t>-41 601 572</t>
  </si>
  <si>
    <t>181 933 766</t>
  </si>
  <si>
    <t>-437,32</t>
  </si>
  <si>
    <t>H/ KÖTELEZETTSÉGEK</t>
  </si>
  <si>
    <t>H</t>
  </si>
  <si>
    <t>102 409 326</t>
  </si>
  <si>
    <t>118 585 888</t>
  </si>
  <si>
    <t>115,80</t>
  </si>
  <si>
    <t>I. Költségvetési évben esedékes kötelezettségek</t>
  </si>
  <si>
    <t>H/I</t>
  </si>
  <si>
    <t>92 011</t>
  </si>
  <si>
    <t>20 570 031</t>
  </si>
  <si>
    <t>22 356,06</t>
  </si>
  <si>
    <t>II. Költségvetési évet követően esedékes kötelezettségek</t>
  </si>
  <si>
    <t>H/II</t>
  </si>
  <si>
    <t>94 048 925</t>
  </si>
  <si>
    <t>86 341 860</t>
  </si>
  <si>
    <t>91,81</t>
  </si>
  <si>
    <t>III. Kötelezettség jellegű sajátos elszámolások</t>
  </si>
  <si>
    <t>H/III</t>
  </si>
  <si>
    <t>8 268 390</t>
  </si>
  <si>
    <t>11 673 997</t>
  </si>
  <si>
    <t>141,19</t>
  </si>
  <si>
    <t>I/ KINCSTÁRI SZÁMLAVEZETÉSSEL KAPCSOLATOS ELSZÁMOLÁSOK</t>
  </si>
  <si>
    <t>I</t>
  </si>
  <si>
    <t>J/ PASSZÍV IDŐBELI ELHATÁROLÁSOK (=K/1+K/2+K/3)</t>
  </si>
  <si>
    <t>J</t>
  </si>
  <si>
    <t>609 306 381</t>
  </si>
  <si>
    <t>1 221 982 882</t>
  </si>
  <si>
    <t>200,55</t>
  </si>
  <si>
    <t>FORRÁSOK ÖSSZESEN</t>
  </si>
  <si>
    <t>G+...+J</t>
  </si>
  <si>
    <t>5 576 378 811</t>
  </si>
  <si>
    <t>6 416 386 924</t>
  </si>
  <si>
    <t>115,06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</si>
  <si>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</si>
  <si>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</si>
  <si>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</si>
  <si>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</si>
  <si>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</si>
  <si>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</si>
  <si>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</si>
  <si>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</si>
  <si>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</si>
  <si>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</si>
  <si>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341 301 802</t>
  </si>
  <si>
    <t>317 305 694</t>
  </si>
  <si>
    <t>92,97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</si>
  <si>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</si>
  <si>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</si>
  <si>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</si>
  <si>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</si>
  <si>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183 098</t>
  </si>
  <si>
    <t>-717 513</t>
  </si>
  <si>
    <t>-391,87</t>
  </si>
  <si>
    <t>Függő kötelezettségek</t>
  </si>
  <si>
    <t>L/7</t>
  </si>
  <si>
    <t>-6 765 229</t>
  </si>
  <si>
    <t>665 326 003</t>
  </si>
  <si>
    <t>-9 834,49</t>
  </si>
  <si>
    <t>Biztos (jövőbeni) követelések</t>
  </si>
  <si>
    <t>L/8</t>
  </si>
  <si>
    <t xml:space="preserve">ZALAKAROS VÁROS ÖNKORMÁNYZAT </t>
  </si>
  <si>
    <t>VAGYON KIMUTATÁSA FORGALOMKÉPESSÉG SZERINT</t>
  </si>
  <si>
    <t>Szociális célú tűzifa,rezsicsökkentéssel nem érintett háztartások tűzelőanyag támogatása</t>
  </si>
  <si>
    <t>Önkormányzat 2018.évi pénzforgalmi bevételei a sajátos eszközoldali elszámolásokkal együtt:</t>
  </si>
  <si>
    <t>Önkormányzat 2018. évi kiadásai a sajátos forrásoldali elszámolásokkal együtt:</t>
  </si>
  <si>
    <t>Záró pénzkészlet 2018.december 31.-én:</t>
  </si>
  <si>
    <t>2018-2022. években</t>
  </si>
  <si>
    <t>2018.évi tény</t>
  </si>
  <si>
    <t>2022.évi terv</t>
  </si>
  <si>
    <t>Tulajdonosi bevételek</t>
  </si>
  <si>
    <t>2018. évi  záró létszám</t>
  </si>
  <si>
    <t xml:space="preserve">2017.évi záró létszám </t>
  </si>
  <si>
    <t>01 - B1-B7. Költségvetési bevételek</t>
  </si>
  <si>
    <t>2018.évi módosítás/teljesítés</t>
  </si>
  <si>
    <t>Megbízási díj+ járulék, versenybírói díj</t>
  </si>
  <si>
    <t xml:space="preserve">Könyvelési díj, könyvvizsgálat, </t>
  </si>
  <si>
    <t>Szálláshely díja</t>
  </si>
  <si>
    <t>Sportszolgáltatás, közreműködési díj, játékengedély, orvosi vizsgálat, nevezési díj,  terembérlet, igazolások, sportszer</t>
  </si>
  <si>
    <t>Egyéb( postaktg, nyomtató, monitor</t>
  </si>
  <si>
    <t>Étkezés</t>
  </si>
  <si>
    <t>Internet, előfizetés</t>
  </si>
  <si>
    <t>26. Nemzetközi Leány Kosárlabda Utánpótlás Torna rendezési költségei</t>
  </si>
  <si>
    <t>Sportfelszerelés, tintapatron, egyéb</t>
  </si>
  <si>
    <t>Megbízási díj járulékokkal+ tagdíj, gépkocsi elszámolás</t>
  </si>
  <si>
    <t xml:space="preserve">Sportszer, ruházat, serleg, nevezési díj, versenyengedély, versenyeztetés, </t>
  </si>
  <si>
    <t>Terembérleti díj, bérleti díj</t>
  </si>
  <si>
    <t>Tatami bérleti díj</t>
  </si>
  <si>
    <t>Szállásdíj , étkezés,</t>
  </si>
  <si>
    <t>orvosi vizsgálat</t>
  </si>
  <si>
    <t>ételfogyasztás</t>
  </si>
  <si>
    <t>Zalakarosi Iskoláért Alapítvány</t>
  </si>
  <si>
    <t>Kisvárosok kórustalálkozója (étkezés, dísztál)</t>
  </si>
  <si>
    <t>Étel, ital, gázpalack</t>
  </si>
  <si>
    <t>Bankköltség, tagdíj, postaköltség, naptár, telefonkártya</t>
  </si>
  <si>
    <t xml:space="preserve"> lapát, seprű</t>
  </si>
  <si>
    <t>Évzáró költségei</t>
  </si>
  <si>
    <t>Notebook</t>
  </si>
  <si>
    <t>Hőkamera</t>
  </si>
  <si>
    <t>Zalaegerszegi Motorosrepülő Klub</t>
  </si>
  <si>
    <t>Repülőnapi rendezvényhez bérleti díj</t>
  </si>
  <si>
    <t xml:space="preserve">Személyszállítás, biztosítás </t>
  </si>
  <si>
    <t>tanulmányút</t>
  </si>
  <si>
    <t>Felszerelés vásárlása (póló feliratozás stb)</t>
  </si>
  <si>
    <t>Népies eszközök vásárlása(szoknya, röpike)</t>
  </si>
  <si>
    <t>zenekari kiséret</t>
  </si>
  <si>
    <t>tánc tanuláshoz koreográfus</t>
  </si>
  <si>
    <t>Kellékek vásárlása (sál, mappa)</t>
  </si>
  <si>
    <t>Hangszerek javítása</t>
  </si>
  <si>
    <t>Tuba vásárlás</t>
  </si>
  <si>
    <t>Vonós Kamara</t>
  </si>
  <si>
    <t>hangszer kiegészítők vásárlása</t>
  </si>
  <si>
    <t xml:space="preserve">3. Konyha </t>
  </si>
  <si>
    <t xml:space="preserve">egyéb szálláshely </t>
  </si>
  <si>
    <t>1500000 Ft-nál elacsonyabb adóalap eletén</t>
  </si>
  <si>
    <t>Egészségügyi tevékenységet végző vállalkozó háziorvos, védőnő</t>
  </si>
  <si>
    <t>Kisfaludy Program keretében Fürdő Vendégház felújítás</t>
  </si>
  <si>
    <t>Előző években folyósított</t>
  </si>
  <si>
    <t>2018. évben befolyt</t>
  </si>
  <si>
    <t>2018. évi tényleges</t>
  </si>
  <si>
    <t>Önrész</t>
  </si>
  <si>
    <t>Támogatás összesen</t>
  </si>
  <si>
    <t>11/2019. (V.17.) számú költségvetési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</si>
</sst>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Ft&quot;_-;\-* #,##0.00\ &quot;Ft&quot;_-;_-* &quot;-&quot;??\ &quot;Ft&quot;_-;_-@_-"/>
    <numFmt numFmtId="164" formatCode="#,##0.0"/>
    <numFmt numFmtId="165" formatCode="#,##0.000"/>
  </numFmts>
  <fonts count="60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Arial"/>
      <family val="2"/>
      <charset val="238"/>
    </font>
    <font>
      <sz val="12"/>
      <name val="Garamond"/>
      <family val="1"/>
      <charset val="238"/>
    </font>
    <font>
      <sz val="8"/>
      <name val="Arial"/>
      <family val="2"/>
      <charset val="238"/>
    </font>
    <font>
      <sz val="10"/>
      <color indexed="48"/>
      <name val="Arial CE"/>
      <charset val="238"/>
    </font>
    <font>
      <b/>
      <sz val="8"/>
      <name val="Arial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i/>
      <sz val="12"/>
      <name val="Arial CE"/>
      <charset val="238"/>
    </font>
    <font>
      <b/>
      <sz val="10"/>
      <name val="Arial CE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sz val="10"/>
      <name val="MS Sans Serif"/>
      <family val="2"/>
      <charset val="238"/>
    </font>
    <font>
      <b/>
      <i/>
      <sz val="10"/>
      <name val="Arial CE"/>
      <charset val="238"/>
    </font>
    <font>
      <sz val="8"/>
      <name val="Arial CE"/>
      <charset val="238"/>
    </font>
    <font>
      <b/>
      <i/>
      <sz val="11"/>
      <name val="Arial CE"/>
      <charset val="238"/>
    </font>
    <font>
      <b/>
      <u/>
      <sz val="12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 CE"/>
      <family val="2"/>
      <charset val="238"/>
    </font>
    <font>
      <i/>
      <sz val="12"/>
      <name val="Arial CE"/>
      <charset val="238"/>
    </font>
    <font>
      <sz val="10"/>
      <name val="Arial CE"/>
      <family val="2"/>
      <charset val="238"/>
    </font>
    <font>
      <u/>
      <sz val="10"/>
      <name val="Arial CE"/>
      <family val="2"/>
      <charset val="238"/>
    </font>
    <font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theme="1"/>
      <name val="Arial"/>
      <family val="2"/>
      <charset val="238"/>
    </font>
    <font>
      <sz val="9"/>
      <color indexed="8"/>
      <name val="Arial CE"/>
      <family val="2"/>
      <charset val="238"/>
    </font>
    <font>
      <sz val="9"/>
      <name val="Arial CE"/>
      <family val="2"/>
      <charset val="238"/>
    </font>
    <font>
      <sz val="16"/>
      <name val="Arial CE"/>
      <family val="2"/>
      <charset val="238"/>
    </font>
    <font>
      <sz val="9"/>
      <name val="Arial"/>
      <family val="2"/>
      <charset val="238"/>
    </font>
    <font>
      <b/>
      <sz val="16"/>
      <name val="Arial CE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38">
    <xf numFmtId="0" fontId="0" fillId="0" borderId="0"/>
    <xf numFmtId="0" fontId="38" fillId="0" borderId="0"/>
    <xf numFmtId="0" fontId="10" fillId="0" borderId="0"/>
    <xf numFmtId="0" fontId="10" fillId="0" borderId="0"/>
    <xf numFmtId="0" fontId="26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" fillId="0" borderId="0"/>
    <xf numFmtId="0" fontId="44" fillId="0" borderId="0"/>
    <xf numFmtId="44" fontId="44" fillId="0" borderId="0" applyFont="0" applyFill="0" applyBorder="0" applyAlignment="0" applyProtection="0"/>
    <xf numFmtId="0" fontId="10" fillId="0" borderId="0"/>
    <xf numFmtId="0" fontId="10" fillId="0" borderId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7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47" fillId="0" borderId="0"/>
    <xf numFmtId="0" fontId="10" fillId="0" borderId="0"/>
    <xf numFmtId="0" fontId="10" fillId="0" borderId="0"/>
    <xf numFmtId="0" fontId="47" fillId="0" borderId="0"/>
    <xf numFmtId="0" fontId="10" fillId="0" borderId="0"/>
    <xf numFmtId="0" fontId="10" fillId="0" borderId="0"/>
    <xf numFmtId="0" fontId="1" fillId="0" borderId="0"/>
    <xf numFmtId="0" fontId="47" fillId="0" borderId="0"/>
    <xf numFmtId="0" fontId="10" fillId="0" borderId="0"/>
    <xf numFmtId="0" fontId="50" fillId="0" borderId="0"/>
    <xf numFmtId="0" fontId="50" fillId="0" borderId="0"/>
  </cellStyleXfs>
  <cellXfs count="1134">
    <xf numFmtId="0" fontId="0" fillId="0" borderId="0" xfId="0"/>
    <xf numFmtId="0" fontId="0" fillId="0" borderId="0" xfId="0" applyBorder="1"/>
    <xf numFmtId="3" fontId="3" fillId="0" borderId="1" xfId="0" applyNumberFormat="1" applyFont="1" applyBorder="1" applyAlignment="1">
      <alignment vertical="center"/>
    </xf>
    <xf numFmtId="0" fontId="7" fillId="0" borderId="0" xfId="11"/>
    <xf numFmtId="3" fontId="6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7" fillId="0" borderId="0" xfId="3" applyFont="1"/>
    <xf numFmtId="0" fontId="10" fillId="0" borderId="0" xfId="7" applyFont="1"/>
    <xf numFmtId="0" fontId="10" fillId="0" borderId="0" xfId="7"/>
    <xf numFmtId="0" fontId="10" fillId="0" borderId="0" xfId="7" applyAlignment="1">
      <alignment horizontal="right"/>
    </xf>
    <xf numFmtId="0" fontId="10" fillId="0" borderId="0" xfId="8"/>
    <xf numFmtId="0" fontId="19" fillId="0" borderId="1" xfId="8" applyFont="1" applyBorder="1"/>
    <xf numFmtId="0" fontId="10" fillId="0" borderId="0" xfId="6"/>
    <xf numFmtId="0" fontId="21" fillId="0" borderId="1" xfId="6" applyFont="1" applyBorder="1" applyAlignment="1">
      <alignment horizontal="center"/>
    </xf>
    <xf numFmtId="3" fontId="13" fillId="0" borderId="1" xfId="6" applyNumberFormat="1" applyFont="1" applyBorder="1" applyAlignment="1">
      <alignment horizontal="right"/>
    </xf>
    <xf numFmtId="49" fontId="21" fillId="0" borderId="1" xfId="6" applyNumberFormat="1" applyFont="1" applyBorder="1" applyAlignment="1">
      <alignment horizontal="center"/>
    </xf>
    <xf numFmtId="0" fontId="21" fillId="0" borderId="0" xfId="6" applyFont="1"/>
    <xf numFmtId="49" fontId="13" fillId="0" borderId="1" xfId="6" applyNumberFormat="1" applyFont="1" applyBorder="1" applyAlignment="1">
      <alignment horizontal="center"/>
    </xf>
    <xf numFmtId="49" fontId="13" fillId="0" borderId="1" xfId="6" applyNumberFormat="1" applyFont="1" applyBorder="1" applyAlignment="1">
      <alignment horizontal="center" vertical="center"/>
    </xf>
    <xf numFmtId="0" fontId="13" fillId="0" borderId="1" xfId="6" applyFont="1" applyBorder="1" applyAlignment="1">
      <alignment horizontal="center" vertical="center" wrapText="1"/>
    </xf>
    <xf numFmtId="0" fontId="10" fillId="0" borderId="0" xfId="2"/>
    <xf numFmtId="0" fontId="11" fillId="2" borderId="1" xfId="2" applyFont="1" applyFill="1" applyBorder="1" applyAlignment="1">
      <alignment horizontal="center"/>
    </xf>
    <xf numFmtId="0" fontId="10" fillId="0" borderId="1" xfId="2" applyFont="1" applyBorder="1"/>
    <xf numFmtId="0" fontId="10" fillId="0" borderId="0" xfId="9"/>
    <xf numFmtId="3" fontId="5" fillId="0" borderId="1" xfId="0" applyNumberFormat="1" applyFont="1" applyBorder="1" applyAlignment="1">
      <alignment vertical="center"/>
    </xf>
    <xf numFmtId="0" fontId="10" fillId="0" borderId="1" xfId="2" applyFont="1" applyBorder="1" applyAlignment="1">
      <alignment horizontal="center"/>
    </xf>
    <xf numFmtId="0" fontId="8" fillId="0" borderId="1" xfId="2" applyFont="1" applyBorder="1" applyAlignment="1">
      <alignment horizontal="center" vertical="distributed"/>
    </xf>
    <xf numFmtId="0" fontId="10" fillId="0" borderId="1" xfId="2" applyFont="1" applyBorder="1" applyAlignment="1">
      <alignment horizontal="center" vertical="distributed"/>
    </xf>
    <xf numFmtId="0" fontId="10" fillId="0" borderId="1" xfId="2" applyBorder="1" applyAlignment="1">
      <alignment vertical="distributed"/>
    </xf>
    <xf numFmtId="9" fontId="10" fillId="0" borderId="1" xfId="2" applyNumberFormat="1" applyFont="1" applyBorder="1" applyAlignment="1">
      <alignment horizontal="center"/>
    </xf>
    <xf numFmtId="9" fontId="10" fillId="0" borderId="1" xfId="2" applyNumberFormat="1" applyBorder="1" applyAlignment="1">
      <alignment horizontal="center" vertical="distributed"/>
    </xf>
    <xf numFmtId="0" fontId="6" fillId="0" borderId="1" xfId="0" applyFont="1" applyBorder="1" applyAlignment="1">
      <alignment horizontal="left" vertical="center"/>
    </xf>
    <xf numFmtId="0" fontId="10" fillId="0" borderId="0" xfId="2" applyAlignment="1">
      <alignment horizontal="right"/>
    </xf>
    <xf numFmtId="0" fontId="11" fillId="0" borderId="1" xfId="2" applyFont="1" applyBorder="1"/>
    <xf numFmtId="0" fontId="29" fillId="0" borderId="1" xfId="2" applyFont="1" applyBorder="1" applyAlignment="1">
      <alignment horizontal="center" vertical="distributed"/>
    </xf>
    <xf numFmtId="0" fontId="11" fillId="0" borderId="1" xfId="2" applyFont="1" applyBorder="1" applyAlignment="1">
      <alignment horizontal="center" vertical="distributed"/>
    </xf>
    <xf numFmtId="9" fontId="11" fillId="0" borderId="1" xfId="2" applyNumberFormat="1" applyFont="1" applyBorder="1" applyAlignment="1">
      <alignment horizontal="center" vertical="distributed"/>
    </xf>
    <xf numFmtId="0" fontId="11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3" fontId="18" fillId="0" borderId="1" xfId="8" applyNumberFormat="1" applyFont="1" applyBorder="1"/>
    <xf numFmtId="0" fontId="21" fillId="0" borderId="1" xfId="6" applyFont="1" applyBorder="1" applyAlignment="1">
      <alignment horizontal="left"/>
    </xf>
    <xf numFmtId="0" fontId="21" fillId="0" borderId="4" xfId="6" applyFont="1" applyBorder="1" applyAlignment="1">
      <alignment horizontal="left"/>
    </xf>
    <xf numFmtId="0" fontId="13" fillId="0" borderId="1" xfId="6" applyFont="1" applyBorder="1" applyAlignment="1">
      <alignment horizontal="left"/>
    </xf>
    <xf numFmtId="0" fontId="13" fillId="0" borderId="4" xfId="6" applyFont="1" applyBorder="1" applyAlignment="1">
      <alignment horizontal="left"/>
    </xf>
    <xf numFmtId="0" fontId="0" fillId="0" borderId="1" xfId="0" applyBorder="1"/>
    <xf numFmtId="0" fontId="13" fillId="0" borderId="1" xfId="6" applyFont="1" applyFill="1" applyBorder="1" applyAlignment="1">
      <alignment horizontal="center" vertical="center" wrapText="1"/>
    </xf>
    <xf numFmtId="0" fontId="13" fillId="0" borderId="1" xfId="6" applyFont="1" applyFill="1" applyBorder="1" applyAlignment="1">
      <alignment horizontal="left" vertical="center"/>
    </xf>
    <xf numFmtId="0" fontId="0" fillId="2" borderId="1" xfId="0" applyFill="1" applyBorder="1"/>
    <xf numFmtId="0" fontId="13" fillId="0" borderId="1" xfId="3" applyFont="1" applyBorder="1" applyAlignment="1">
      <alignment horizontal="center" vertical="center"/>
    </xf>
    <xf numFmtId="0" fontId="13" fillId="0" borderId="1" xfId="3" applyFont="1" applyBorder="1" applyAlignment="1">
      <alignment horizontal="center"/>
    </xf>
    <xf numFmtId="0" fontId="7" fillId="0" borderId="1" xfId="5" applyFont="1" applyBorder="1"/>
    <xf numFmtId="0" fontId="10" fillId="0" borderId="1" xfId="2" applyFont="1" applyBorder="1" applyAlignment="1">
      <alignment horizontal="distributed" vertical="distributed"/>
    </xf>
    <xf numFmtId="3" fontId="11" fillId="0" borderId="1" xfId="2" applyNumberFormat="1" applyFont="1" applyBorder="1" applyAlignment="1">
      <alignment vertical="distributed"/>
    </xf>
    <xf numFmtId="3" fontId="10" fillId="0" borderId="1" xfId="2" applyNumberFormat="1" applyFont="1" applyBorder="1" applyAlignment="1">
      <alignment horizontal="right" vertical="distributed"/>
    </xf>
    <xf numFmtId="3" fontId="16" fillId="0" borderId="1" xfId="8" applyNumberFormat="1" applyFont="1" applyBorder="1"/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9" fillId="0" borderId="1" xfId="8" applyFont="1" applyBorder="1" applyAlignment="1">
      <alignment horizontal="left"/>
    </xf>
    <xf numFmtId="0" fontId="19" fillId="0" borderId="1" xfId="8" applyFont="1" applyBorder="1" applyAlignment="1">
      <alignment horizontal="center"/>
    </xf>
    <xf numFmtId="0" fontId="34" fillId="2" borderId="1" xfId="8" applyFont="1" applyFill="1" applyBorder="1"/>
    <xf numFmtId="0" fontId="35" fillId="0" borderId="1" xfId="5" applyFont="1" applyBorder="1" applyAlignment="1">
      <alignment vertical="distributed"/>
    </xf>
    <xf numFmtId="0" fontId="11" fillId="0" borderId="1" xfId="5" applyFont="1" applyBorder="1" applyAlignment="1">
      <alignment vertical="distributed"/>
    </xf>
    <xf numFmtId="0" fontId="20" fillId="2" borderId="1" xfId="8" applyFont="1" applyFill="1" applyBorder="1" applyAlignment="1">
      <alignment horizontal="left" vertical="distributed"/>
    </xf>
    <xf numFmtId="0" fontId="34" fillId="0" borderId="1" xfId="8" applyFont="1" applyBorder="1" applyAlignment="1">
      <alignment horizontal="left" vertical="distributed"/>
    </xf>
    <xf numFmtId="0" fontId="22" fillId="0" borderId="1" xfId="6" applyFont="1" applyBorder="1" applyAlignment="1">
      <alignment horizontal="left"/>
    </xf>
    <xf numFmtId="0" fontId="13" fillId="0" borderId="1" xfId="5" applyFont="1" applyBorder="1"/>
    <xf numFmtId="0" fontId="17" fillId="0" borderId="1" xfId="8" applyFont="1" applyBorder="1" applyAlignment="1">
      <alignment horizontal="left"/>
    </xf>
    <xf numFmtId="0" fontId="7" fillId="0" borderId="0" xfId="11" applyBorder="1"/>
    <xf numFmtId="0" fontId="5" fillId="0" borderId="1" xfId="0" applyFont="1" applyBorder="1" applyAlignment="1">
      <alignment vertical="center"/>
    </xf>
    <xf numFmtId="0" fontId="0" fillId="3" borderId="0" xfId="0" applyFill="1"/>
    <xf numFmtId="0" fontId="21" fillId="0" borderId="0" xfId="0" applyFont="1"/>
    <xf numFmtId="3" fontId="21" fillId="0" borderId="6" xfId="1" applyNumberFormat="1" applyFont="1" applyFill="1" applyBorder="1" applyAlignment="1">
      <alignment horizontal="center" vertical="center"/>
    </xf>
    <xf numFmtId="4" fontId="21" fillId="0" borderId="6" xfId="1" applyNumberFormat="1" applyFont="1" applyFill="1" applyBorder="1" applyAlignment="1">
      <alignment vertical="center"/>
    </xf>
    <xf numFmtId="3" fontId="21" fillId="0" borderId="7" xfId="1" applyNumberFormat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vertical="center"/>
    </xf>
    <xf numFmtId="3" fontId="13" fillId="0" borderId="6" xfId="1" applyNumberFormat="1" applyFont="1" applyFill="1" applyBorder="1" applyAlignment="1">
      <alignment vertical="center"/>
    </xf>
    <xf numFmtId="3" fontId="13" fillId="0" borderId="7" xfId="1" applyNumberFormat="1" applyFont="1" applyFill="1" applyBorder="1" applyAlignment="1">
      <alignment vertical="center"/>
    </xf>
    <xf numFmtId="0" fontId="35" fillId="0" borderId="0" xfId="8" applyFont="1"/>
    <xf numFmtId="0" fontId="13" fillId="0" borderId="1" xfId="6" applyFont="1" applyBorder="1"/>
    <xf numFmtId="0" fontId="13" fillId="0" borderId="1" xfId="6" applyFont="1" applyBorder="1" applyAlignment="1">
      <alignment horizontal="center"/>
    </xf>
    <xf numFmtId="0" fontId="13" fillId="3" borderId="1" xfId="3" applyFont="1" applyFill="1" applyBorder="1" applyAlignment="1">
      <alignment horizontal="left" vertical="center"/>
    </xf>
    <xf numFmtId="0" fontId="11" fillId="0" borderId="6" xfId="1" applyFont="1" applyBorder="1" applyAlignment="1">
      <alignment vertical="center"/>
    </xf>
    <xf numFmtId="0" fontId="35" fillId="0" borderId="6" xfId="1" applyFont="1" applyBorder="1" applyAlignment="1">
      <alignment vertical="center"/>
    </xf>
    <xf numFmtId="0" fontId="21" fillId="0" borderId="0" xfId="0" applyFont="1" applyAlignment="1">
      <alignment wrapText="1"/>
    </xf>
    <xf numFmtId="0" fontId="33" fillId="0" borderId="1" xfId="0" applyFont="1" applyBorder="1"/>
    <xf numFmtId="3" fontId="3" fillId="0" borderId="1" xfId="0" applyNumberFormat="1" applyFont="1" applyBorder="1" applyAlignment="1">
      <alignment horizontal="right" vertical="center"/>
    </xf>
    <xf numFmtId="0" fontId="30" fillId="0" borderId="0" xfId="0" applyFont="1"/>
    <xf numFmtId="16" fontId="25" fillId="0" borderId="1" xfId="6" applyNumberFormat="1" applyFont="1" applyBorder="1" applyAlignment="1">
      <alignment horizontal="left"/>
    </xf>
    <xf numFmtId="0" fontId="22" fillId="0" borderId="1" xfId="6" applyFont="1" applyBorder="1" applyAlignment="1">
      <alignment horizontal="center" vertical="center" wrapText="1"/>
    </xf>
    <xf numFmtId="0" fontId="12" fillId="0" borderId="1" xfId="6" applyFont="1" applyBorder="1" applyAlignment="1">
      <alignment horizontal="left"/>
    </xf>
    <xf numFmtId="0" fontId="12" fillId="0" borderId="1" xfId="6" applyNumberFormat="1" applyFont="1" applyBorder="1" applyAlignment="1">
      <alignment horizontal="left"/>
    </xf>
    <xf numFmtId="0" fontId="12" fillId="0" borderId="4" xfId="6" applyFont="1" applyBorder="1" applyAlignment="1">
      <alignment horizontal="left"/>
    </xf>
    <xf numFmtId="16" fontId="12" fillId="0" borderId="1" xfId="6" applyNumberFormat="1" applyFont="1" applyBorder="1" applyAlignment="1">
      <alignment horizontal="left"/>
    </xf>
    <xf numFmtId="0" fontId="13" fillId="0" borderId="1" xfId="6" applyNumberFormat="1" applyFont="1" applyBorder="1" applyAlignment="1">
      <alignment horizontal="left"/>
    </xf>
    <xf numFmtId="2" fontId="12" fillId="0" borderId="1" xfId="6" applyNumberFormat="1" applyFont="1" applyBorder="1" applyAlignment="1">
      <alignment horizontal="left"/>
    </xf>
    <xf numFmtId="0" fontId="0" fillId="0" borderId="0" xfId="0" applyFont="1"/>
    <xf numFmtId="0" fontId="39" fillId="2" borderId="1" xfId="0" applyFont="1" applyFill="1" applyBorder="1"/>
    <xf numFmtId="0" fontId="33" fillId="2" borderId="1" xfId="0" applyFont="1" applyFill="1" applyBorder="1"/>
    <xf numFmtId="0" fontId="21" fillId="3" borderId="0" xfId="0" applyFont="1" applyFill="1"/>
    <xf numFmtId="49" fontId="12" fillId="0" borderId="1" xfId="6" applyNumberFormat="1" applyFont="1" applyBorder="1" applyAlignment="1">
      <alignment horizontal="center"/>
    </xf>
    <xf numFmtId="3" fontId="11" fillId="0" borderId="1" xfId="2" applyNumberFormat="1" applyFont="1" applyBorder="1" applyAlignment="1">
      <alignment horizontal="right" vertical="distributed"/>
    </xf>
    <xf numFmtId="9" fontId="10" fillId="0" borderId="1" xfId="2" applyNumberFormat="1" applyFont="1" applyBorder="1" applyAlignment="1">
      <alignment horizontal="center" vertical="distributed"/>
    </xf>
    <xf numFmtId="0" fontId="39" fillId="2" borderId="1" xfId="0" applyFont="1" applyFill="1" applyBorder="1" applyAlignment="1">
      <alignment horizontal="center" vertical="center"/>
    </xf>
    <xf numFmtId="0" fontId="5" fillId="0" borderId="0" xfId="0" applyFont="1"/>
    <xf numFmtId="0" fontId="7" fillId="0" borderId="0" xfId="7" applyFont="1"/>
    <xf numFmtId="0" fontId="10" fillId="0" borderId="6" xfId="1" applyFont="1" applyBorder="1" applyAlignment="1">
      <alignment vertical="center"/>
    </xf>
    <xf numFmtId="49" fontId="12" fillId="0" borderId="2" xfId="6" applyNumberFormat="1" applyFont="1" applyBorder="1" applyAlignment="1">
      <alignment horizontal="center" vertical="center"/>
    </xf>
    <xf numFmtId="3" fontId="21" fillId="0" borderId="1" xfId="6" applyNumberFormat="1" applyFont="1" applyBorder="1" applyAlignment="1">
      <alignment horizontal="right" vertical="center"/>
    </xf>
    <xf numFmtId="3" fontId="13" fillId="0" borderId="1" xfId="6" applyNumberFormat="1" applyFont="1" applyBorder="1" applyAlignment="1">
      <alignment horizontal="right" vertical="center"/>
    </xf>
    <xf numFmtId="3" fontId="22" fillId="0" borderId="1" xfId="6" applyNumberFormat="1" applyFont="1" applyBorder="1" applyAlignment="1">
      <alignment horizontal="right" vertical="center"/>
    </xf>
    <xf numFmtId="3" fontId="10" fillId="0" borderId="1" xfId="6" applyNumberFormat="1" applyBorder="1" applyAlignment="1">
      <alignment horizontal="right" vertical="center"/>
    </xf>
    <xf numFmtId="3" fontId="21" fillId="0" borderId="2" xfId="6" applyNumberFormat="1" applyFont="1" applyBorder="1" applyAlignment="1">
      <alignment horizontal="right" vertical="center"/>
    </xf>
    <xf numFmtId="3" fontId="13" fillId="0" borderId="1" xfId="3" applyNumberFormat="1" applyFont="1" applyBorder="1" applyAlignment="1">
      <alignment horizontal="right" vertical="center"/>
    </xf>
    <xf numFmtId="0" fontId="13" fillId="3" borderId="1" xfId="6" applyFont="1" applyFill="1" applyBorder="1" applyAlignment="1">
      <alignment vertical="center" wrapText="1"/>
    </xf>
    <xf numFmtId="0" fontId="34" fillId="0" borderId="1" xfId="8" applyFont="1" applyBorder="1" applyAlignment="1">
      <alignment horizontal="center" vertical="distributed"/>
    </xf>
    <xf numFmtId="0" fontId="34" fillId="0" borderId="1" xfId="8" applyFont="1" applyBorder="1" applyAlignment="1">
      <alignment horizontal="center"/>
    </xf>
    <xf numFmtId="3" fontId="7" fillId="0" borderId="1" xfId="5" applyNumberFormat="1" applyFont="1" applyBorder="1" applyAlignment="1">
      <alignment horizontal="right"/>
    </xf>
    <xf numFmtId="0" fontId="9" fillId="0" borderId="1" xfId="5" applyFont="1" applyBorder="1"/>
    <xf numFmtId="0" fontId="12" fillId="0" borderId="1" xfId="5" applyFont="1" applyBorder="1"/>
    <xf numFmtId="49" fontId="12" fillId="0" borderId="1" xfId="6" applyNumberFormat="1" applyFont="1" applyBorder="1" applyAlignment="1">
      <alignment horizontal="left"/>
    </xf>
    <xf numFmtId="0" fontId="18" fillId="0" borderId="1" xfId="8" applyFont="1" applyBorder="1" applyAlignment="1">
      <alignment horizontal="center"/>
    </xf>
    <xf numFmtId="4" fontId="13" fillId="0" borderId="6" xfId="4" applyNumberFormat="1" applyFont="1" applyFill="1" applyBorder="1"/>
    <xf numFmtId="3" fontId="13" fillId="0" borderId="6" xfId="4" applyNumberFormat="1" applyFont="1" applyFill="1" applyBorder="1"/>
    <xf numFmtId="3" fontId="13" fillId="0" borderId="7" xfId="4" applyNumberFormat="1" applyFont="1" applyFill="1" applyBorder="1"/>
    <xf numFmtId="3" fontId="21" fillId="0" borderId="6" xfId="4" applyNumberFormat="1" applyFont="1" applyFill="1" applyBorder="1"/>
    <xf numFmtId="3" fontId="21" fillId="0" borderId="7" xfId="4" applyNumberFormat="1" applyFont="1" applyFill="1" applyBorder="1"/>
    <xf numFmtId="3" fontId="21" fillId="0" borderId="15" xfId="1" applyNumberFormat="1" applyFont="1" applyFill="1" applyBorder="1" applyAlignment="1">
      <alignment vertical="center"/>
    </xf>
    <xf numFmtId="3" fontId="21" fillId="0" borderId="10" xfId="4" applyNumberFormat="1" applyFont="1" applyFill="1" applyBorder="1"/>
    <xf numFmtId="4" fontId="12" fillId="0" borderId="9" xfId="4" applyNumberFormat="1" applyFont="1" applyFill="1" applyBorder="1"/>
    <xf numFmtId="0" fontId="39" fillId="2" borderId="1" xfId="0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3" fontId="7" fillId="0" borderId="1" xfId="6" applyNumberFormat="1" applyFont="1" applyBorder="1" applyAlignment="1">
      <alignment horizontal="right"/>
    </xf>
    <xf numFmtId="0" fontId="7" fillId="0" borderId="1" xfId="6" applyFont="1" applyBorder="1" applyAlignment="1">
      <alignment horizontal="left"/>
    </xf>
    <xf numFmtId="3" fontId="3" fillId="0" borderId="1" xfId="0" applyNumberFormat="1" applyFont="1" applyFill="1" applyBorder="1" applyAlignment="1">
      <alignment vertical="center"/>
    </xf>
    <xf numFmtId="0" fontId="30" fillId="0" borderId="1" xfId="0" applyFont="1" applyBorder="1" applyAlignment="1">
      <alignment vertical="center"/>
    </xf>
    <xf numFmtId="3" fontId="30" fillId="0" borderId="1" xfId="0" applyNumberFormat="1" applyFont="1" applyBorder="1" applyAlignment="1">
      <alignment vertical="center"/>
    </xf>
    <xf numFmtId="0" fontId="14" fillId="0" borderId="1" xfId="8" applyFont="1" applyBorder="1" applyAlignment="1">
      <alignment horizontal="center" vertical="distributed"/>
    </xf>
    <xf numFmtId="0" fontId="15" fillId="0" borderId="1" xfId="8" applyFont="1" applyFill="1" applyBorder="1" applyAlignment="1">
      <alignment horizontal="center" vertical="center"/>
    </xf>
    <xf numFmtId="0" fontId="15" fillId="0" borderId="1" xfId="8" applyFont="1" applyFill="1" applyBorder="1" applyAlignment="1">
      <alignment horizontal="left" vertical="center"/>
    </xf>
    <xf numFmtId="0" fontId="20" fillId="0" borderId="1" xfId="8" applyFont="1" applyFill="1" applyBorder="1" applyAlignment="1">
      <alignment horizontal="center" vertical="center"/>
    </xf>
    <xf numFmtId="0" fontId="14" fillId="0" borderId="1" xfId="8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31" fillId="0" borderId="1" xfId="0" applyFont="1" applyBorder="1" applyAlignment="1">
      <alignment vertical="center"/>
    </xf>
    <xf numFmtId="16" fontId="6" fillId="0" borderId="1" xfId="0" applyNumberFormat="1" applyFont="1" applyBorder="1" applyAlignment="1">
      <alignment horizontal="left" vertical="center"/>
    </xf>
    <xf numFmtId="49" fontId="21" fillId="5" borderId="1" xfId="6" applyNumberFormat="1" applyFont="1" applyFill="1" applyBorder="1" applyAlignment="1">
      <alignment horizontal="center"/>
    </xf>
    <xf numFmtId="0" fontId="13" fillId="5" borderId="1" xfId="6" applyFont="1" applyFill="1" applyBorder="1" applyAlignment="1">
      <alignment horizontal="left"/>
    </xf>
    <xf numFmtId="3" fontId="13" fillId="5" borderId="1" xfId="6" applyNumberFormat="1" applyFont="1" applyFill="1" applyBorder="1" applyAlignment="1">
      <alignment horizontal="right" vertical="center"/>
    </xf>
    <xf numFmtId="0" fontId="21" fillId="5" borderId="1" xfId="6" applyFont="1" applyFill="1" applyBorder="1" applyAlignment="1">
      <alignment horizontal="center"/>
    </xf>
    <xf numFmtId="0" fontId="13" fillId="5" borderId="1" xfId="6" applyFont="1" applyFill="1" applyBorder="1"/>
    <xf numFmtId="0" fontId="13" fillId="5" borderId="4" xfId="6" applyFont="1" applyFill="1" applyBorder="1" applyAlignment="1">
      <alignment horizontal="left"/>
    </xf>
    <xf numFmtId="49" fontId="13" fillId="5" borderId="1" xfId="6" applyNumberFormat="1" applyFont="1" applyFill="1" applyBorder="1" applyAlignment="1">
      <alignment horizontal="center"/>
    </xf>
    <xf numFmtId="49" fontId="21" fillId="5" borderId="2" xfId="6" applyNumberFormat="1" applyFont="1" applyFill="1" applyBorder="1" applyAlignment="1">
      <alignment horizontal="center" vertical="center"/>
    </xf>
    <xf numFmtId="3" fontId="13" fillId="5" borderId="2" xfId="6" applyNumberFormat="1" applyFont="1" applyFill="1" applyBorder="1" applyAlignment="1">
      <alignment horizontal="right" vertical="center"/>
    </xf>
    <xf numFmtId="3" fontId="13" fillId="6" borderId="1" xfId="6" applyNumberFormat="1" applyFont="1" applyFill="1" applyBorder="1" applyAlignment="1">
      <alignment horizontal="right" vertical="center"/>
    </xf>
    <xf numFmtId="49" fontId="13" fillId="7" borderId="2" xfId="6" applyNumberFormat="1" applyFont="1" applyFill="1" applyBorder="1" applyAlignment="1">
      <alignment horizontal="distributed" vertical="distributed"/>
    </xf>
    <xf numFmtId="0" fontId="9" fillId="7" borderId="4" xfId="6" applyFont="1" applyFill="1" applyBorder="1" applyAlignment="1">
      <alignment horizontal="left"/>
    </xf>
    <xf numFmtId="3" fontId="22" fillId="7" borderId="2" xfId="6" applyNumberFormat="1" applyFont="1" applyFill="1" applyBorder="1" applyAlignment="1">
      <alignment horizontal="right" vertical="center"/>
    </xf>
    <xf numFmtId="0" fontId="13" fillId="7" borderId="1" xfId="3" applyFont="1" applyFill="1" applyBorder="1" applyAlignment="1">
      <alignment horizontal="center"/>
    </xf>
    <xf numFmtId="0" fontId="22" fillId="7" borderId="1" xfId="3" applyFont="1" applyFill="1" applyBorder="1" applyAlignment="1">
      <alignment horizontal="left"/>
    </xf>
    <xf numFmtId="3" fontId="13" fillId="7" borderId="1" xfId="3" applyNumberFormat="1" applyFont="1" applyFill="1" applyBorder="1" applyAlignment="1">
      <alignment horizontal="right" vertical="center"/>
    </xf>
    <xf numFmtId="0" fontId="22" fillId="7" borderId="4" xfId="3" applyFont="1" applyFill="1" applyBorder="1" applyAlignment="1">
      <alignment horizontal="left"/>
    </xf>
    <xf numFmtId="3" fontId="13" fillId="7" borderId="1" xfId="4" applyNumberFormat="1" applyFont="1" applyFill="1" applyBorder="1"/>
    <xf numFmtId="0" fontId="5" fillId="4" borderId="1" xfId="0" applyFont="1" applyFill="1" applyBorder="1" applyAlignment="1">
      <alignment horizontal="center"/>
    </xf>
    <xf numFmtId="3" fontId="32" fillId="8" borderId="1" xfId="0" applyNumberFormat="1" applyFont="1" applyFill="1" applyBorder="1" applyAlignment="1">
      <alignment vertical="center"/>
    </xf>
    <xf numFmtId="0" fontId="22" fillId="5" borderId="1" xfId="6" applyFont="1" applyFill="1" applyBorder="1" applyAlignment="1">
      <alignment horizontal="left"/>
    </xf>
    <xf numFmtId="16" fontId="22" fillId="5" borderId="1" xfId="6" applyNumberFormat="1" applyFont="1" applyFill="1" applyBorder="1" applyAlignment="1">
      <alignment horizontal="left"/>
    </xf>
    <xf numFmtId="0" fontId="13" fillId="7" borderId="1" xfId="6" applyFont="1" applyFill="1" applyBorder="1" applyAlignment="1">
      <alignment horizontal="left"/>
    </xf>
    <xf numFmtId="49" fontId="13" fillId="5" borderId="1" xfId="6" applyNumberFormat="1" applyFont="1" applyFill="1" applyBorder="1" applyAlignment="1">
      <alignment horizontal="left"/>
    </xf>
    <xf numFmtId="0" fontId="13" fillId="5" borderId="1" xfId="6" applyNumberFormat="1" applyFont="1" applyFill="1" applyBorder="1" applyAlignment="1">
      <alignment horizontal="left"/>
    </xf>
    <xf numFmtId="0" fontId="15" fillId="5" borderId="1" xfId="8" applyFont="1" applyFill="1" applyBorder="1" applyAlignment="1">
      <alignment horizontal="left" vertical="center"/>
    </xf>
    <xf numFmtId="0" fontId="11" fillId="5" borderId="1" xfId="5" applyFont="1" applyFill="1" applyBorder="1" applyAlignment="1">
      <alignment vertical="distributed"/>
    </xf>
    <xf numFmtId="3" fontId="9" fillId="5" borderId="1" xfId="5" applyNumberFormat="1" applyFont="1" applyFill="1" applyBorder="1"/>
    <xf numFmtId="3" fontId="17" fillId="5" borderId="1" xfId="8" applyNumberFormat="1" applyFont="1" applyFill="1" applyBorder="1"/>
    <xf numFmtId="0" fontId="33" fillId="4" borderId="1" xfId="0" applyFont="1" applyFill="1" applyBorder="1"/>
    <xf numFmtId="0" fontId="39" fillId="2" borderId="1" xfId="0" applyFont="1" applyFill="1" applyBorder="1" applyAlignment="1"/>
    <xf numFmtId="0" fontId="0" fillId="2" borderId="1" xfId="0" applyFont="1" applyFill="1" applyBorder="1"/>
    <xf numFmtId="3" fontId="7" fillId="0" borderId="1" xfId="5" applyNumberFormat="1" applyFont="1" applyBorder="1"/>
    <xf numFmtId="3" fontId="7" fillId="0" borderId="1" xfId="5" applyNumberFormat="1" applyFont="1" applyBorder="1" applyAlignment="1">
      <alignment vertical="center"/>
    </xf>
    <xf numFmtId="3" fontId="16" fillId="0" borderId="1" xfId="8" applyNumberFormat="1" applyFont="1" applyFill="1" applyBorder="1"/>
    <xf numFmtId="3" fontId="9" fillId="0" borderId="1" xfId="5" applyNumberFormat="1" applyFont="1" applyBorder="1"/>
    <xf numFmtId="2" fontId="21" fillId="0" borderId="6" xfId="4" applyNumberFormat="1" applyFont="1" applyFill="1" applyBorder="1"/>
    <xf numFmtId="2" fontId="21" fillId="0" borderId="6" xfId="1" applyNumberFormat="1" applyFont="1" applyFill="1" applyBorder="1" applyAlignment="1">
      <alignment vertical="center"/>
    </xf>
    <xf numFmtId="2" fontId="21" fillId="0" borderId="15" xfId="1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6" fillId="0" borderId="2" xfId="0" applyNumberFormat="1" applyFont="1" applyBorder="1"/>
    <xf numFmtId="0" fontId="32" fillId="4" borderId="1" xfId="0" applyFont="1" applyFill="1" applyBorder="1" applyAlignment="1">
      <alignment horizontal="left" vertical="center"/>
    </xf>
    <xf numFmtId="3" fontId="32" fillId="4" borderId="1" xfId="0" applyNumberFormat="1" applyFont="1" applyFill="1" applyBorder="1" applyAlignment="1">
      <alignment horizontal="right" vertical="center"/>
    </xf>
    <xf numFmtId="0" fontId="32" fillId="4" borderId="4" xfId="0" applyFont="1" applyFill="1" applyBorder="1" applyAlignment="1">
      <alignment horizontal="center" vertical="center"/>
    </xf>
    <xf numFmtId="0" fontId="32" fillId="4" borderId="17" xfId="0" applyFont="1" applyFill="1" applyBorder="1" applyAlignment="1">
      <alignment horizontal="center" vertical="center"/>
    </xf>
    <xf numFmtId="0" fontId="7" fillId="0" borderId="1" xfId="9" applyFont="1" applyBorder="1" applyAlignment="1">
      <alignment horizontal="center" vertical="center"/>
    </xf>
    <xf numFmtId="3" fontId="7" fillId="0" borderId="1" xfId="9" applyNumberFormat="1" applyFont="1" applyBorder="1" applyAlignment="1">
      <alignment vertical="center"/>
    </xf>
    <xf numFmtId="3" fontId="9" fillId="7" borderId="1" xfId="9" applyNumberFormat="1" applyFont="1" applyFill="1" applyBorder="1" applyAlignment="1">
      <alignment vertical="center"/>
    </xf>
    <xf numFmtId="0" fontId="7" fillId="7" borderId="1" xfId="9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right" vertical="center"/>
    </xf>
    <xf numFmtId="3" fontId="21" fillId="0" borderId="8" xfId="4" applyNumberFormat="1" applyFont="1" applyFill="1" applyBorder="1"/>
    <xf numFmtId="3" fontId="21" fillId="0" borderId="18" xfId="4" applyNumberFormat="1" applyFont="1" applyFill="1" applyBorder="1"/>
    <xf numFmtId="2" fontId="21" fillId="0" borderId="8" xfId="1" applyNumberFormat="1" applyFont="1" applyFill="1" applyBorder="1" applyAlignment="1">
      <alignment vertical="center"/>
    </xf>
    <xf numFmtId="0" fontId="10" fillId="0" borderId="6" xfId="1" applyFont="1" applyBorder="1" applyAlignment="1">
      <alignment vertical="center" wrapText="1"/>
    </xf>
    <xf numFmtId="0" fontId="10" fillId="0" borderId="15" xfId="1" applyFont="1" applyBorder="1" applyAlignment="1">
      <alignment vertical="center"/>
    </xf>
    <xf numFmtId="0" fontId="10" fillId="0" borderId="8" xfId="1" applyFont="1" applyBorder="1" applyAlignment="1">
      <alignment vertical="center" wrapText="1"/>
    </xf>
    <xf numFmtId="0" fontId="0" fillId="0" borderId="0" xfId="0" applyBorder="1" applyAlignment="1">
      <alignment horizontal="left"/>
    </xf>
    <xf numFmtId="0" fontId="28" fillId="0" borderId="0" xfId="0" applyFont="1" applyBorder="1" applyAlignment="1">
      <alignment horizontal="left"/>
    </xf>
    <xf numFmtId="0" fontId="6" fillId="5" borderId="1" xfId="0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vertical="center"/>
    </xf>
    <xf numFmtId="3" fontId="22" fillId="5" borderId="1" xfId="6" applyNumberFormat="1" applyFont="1" applyFill="1" applyBorder="1" applyAlignment="1">
      <alignment horizontal="right" vertical="center"/>
    </xf>
    <xf numFmtId="3" fontId="21" fillId="3" borderId="1" xfId="6" applyNumberFormat="1" applyFont="1" applyFill="1" applyBorder="1" applyAlignment="1">
      <alignment horizontal="right" vertical="center"/>
    </xf>
    <xf numFmtId="3" fontId="13" fillId="7" borderId="1" xfId="6" applyNumberFormat="1" applyFont="1" applyFill="1" applyBorder="1" applyAlignment="1">
      <alignment horizontal="right" vertical="center"/>
    </xf>
    <xf numFmtId="3" fontId="25" fillId="0" borderId="1" xfId="6" applyNumberFormat="1" applyFont="1" applyBorder="1" applyAlignment="1">
      <alignment horizontal="right" vertical="center"/>
    </xf>
    <xf numFmtId="3" fontId="13" fillId="5" borderId="1" xfId="6" applyNumberFormat="1" applyFont="1" applyFill="1" applyBorder="1" applyAlignment="1">
      <alignment horizontal="right" vertical="center"/>
    </xf>
    <xf numFmtId="3" fontId="12" fillId="0" borderId="1" xfId="6" applyNumberFormat="1" applyFont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/>
    </xf>
    <xf numFmtId="0" fontId="10" fillId="0" borderId="1" xfId="8" applyBorder="1"/>
    <xf numFmtId="0" fontId="11" fillId="5" borderId="6" xfId="1" applyFont="1" applyFill="1" applyBorder="1" applyAlignment="1">
      <alignment vertical="center"/>
    </xf>
    <xf numFmtId="3" fontId="13" fillId="5" borderId="6" xfId="4" applyNumberFormat="1" applyFont="1" applyFill="1" applyBorder="1"/>
    <xf numFmtId="3" fontId="13" fillId="5" borderId="7" xfId="4" applyNumberFormat="1" applyFont="1" applyFill="1" applyBorder="1"/>
    <xf numFmtId="0" fontId="11" fillId="5" borderId="1" xfId="1" applyFont="1" applyFill="1" applyBorder="1" applyAlignment="1">
      <alignment vertical="center"/>
    </xf>
    <xf numFmtId="3" fontId="13" fillId="5" borderId="1" xfId="4" applyNumberFormat="1" applyFont="1" applyFill="1" applyBorder="1"/>
    <xf numFmtId="164" fontId="13" fillId="5" borderId="1" xfId="4" applyNumberFormat="1" applyFont="1" applyFill="1" applyBorder="1"/>
    <xf numFmtId="0" fontId="13" fillId="5" borderId="1" xfId="10" applyFont="1" applyFill="1" applyBorder="1"/>
    <xf numFmtId="3" fontId="13" fillId="5" borderId="1" xfId="1" applyNumberFormat="1" applyFont="1" applyFill="1" applyBorder="1" applyAlignment="1">
      <alignment vertical="center"/>
    </xf>
    <xf numFmtId="3" fontId="13" fillId="7" borderId="1" xfId="10" applyNumberFormat="1" applyFont="1" applyFill="1" applyBorder="1"/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/>
    </xf>
    <xf numFmtId="3" fontId="32" fillId="5" borderId="1" xfId="0" applyNumberFormat="1" applyFont="1" applyFill="1" applyBorder="1" applyAlignment="1">
      <alignment horizontal="right" vertical="center"/>
    </xf>
    <xf numFmtId="3" fontId="32" fillId="7" borderId="1" xfId="0" applyNumberFormat="1" applyFont="1" applyFill="1" applyBorder="1" applyAlignment="1">
      <alignment horizontal="right" vertical="center"/>
    </xf>
    <xf numFmtId="3" fontId="5" fillId="5" borderId="1" xfId="0" applyNumberFormat="1" applyFont="1" applyFill="1" applyBorder="1"/>
    <xf numFmtId="3" fontId="32" fillId="7" borderId="9" xfId="0" applyNumberFormat="1" applyFont="1" applyFill="1" applyBorder="1" applyAlignment="1">
      <alignment horizontal="right" vertical="center"/>
    </xf>
    <xf numFmtId="0" fontId="41" fillId="5" borderId="1" xfId="0" applyFont="1" applyFill="1" applyBorder="1" applyAlignment="1">
      <alignment vertical="center"/>
    </xf>
    <xf numFmtId="0" fontId="41" fillId="7" borderId="4" xfId="0" applyFont="1" applyFill="1" applyBorder="1" applyAlignment="1">
      <alignment vertical="center"/>
    </xf>
    <xf numFmtId="0" fontId="41" fillId="7" borderId="17" xfId="0" applyFont="1" applyFill="1" applyBorder="1" applyAlignment="1">
      <alignment vertical="center"/>
    </xf>
    <xf numFmtId="3" fontId="32" fillId="7" borderId="1" xfId="0" applyNumberFormat="1" applyFont="1" applyFill="1" applyBorder="1" applyAlignment="1">
      <alignment vertical="center"/>
    </xf>
    <xf numFmtId="0" fontId="13" fillId="6" borderId="1" xfId="6" applyFont="1" applyFill="1" applyBorder="1" applyAlignment="1">
      <alignment horizontal="left"/>
    </xf>
    <xf numFmtId="49" fontId="21" fillId="6" borderId="1" xfId="6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30" fillId="0" borderId="17" xfId="0" applyFont="1" applyBorder="1" applyAlignment="1">
      <alignment vertical="center"/>
    </xf>
    <xf numFmtId="3" fontId="9" fillId="5" borderId="1" xfId="5" applyNumberFormat="1" applyFont="1" applyFill="1" applyBorder="1" applyAlignment="1">
      <alignment horizontal="right"/>
    </xf>
    <xf numFmtId="0" fontId="13" fillId="5" borderId="1" xfId="5" applyFont="1" applyFill="1" applyBorder="1"/>
    <xf numFmtId="0" fontId="9" fillId="5" borderId="1" xfId="5" applyFont="1" applyFill="1" applyBorder="1"/>
    <xf numFmtId="0" fontId="7" fillId="0" borderId="1" xfId="5" applyFont="1" applyBorder="1" applyAlignment="1">
      <alignment horizontal="center"/>
    </xf>
    <xf numFmtId="0" fontId="18" fillId="4" borderId="1" xfId="8" applyFont="1" applyFill="1" applyBorder="1" applyAlignment="1">
      <alignment horizontal="center"/>
    </xf>
    <xf numFmtId="3" fontId="13" fillId="3" borderId="1" xfId="3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/>
    </xf>
    <xf numFmtId="0" fontId="18" fillId="5" borderId="1" xfId="8" applyFont="1" applyFill="1" applyBorder="1" applyAlignment="1">
      <alignment horizontal="center"/>
    </xf>
    <xf numFmtId="0" fontId="18" fillId="5" borderId="1" xfId="8" applyFont="1" applyFill="1" applyBorder="1"/>
    <xf numFmtId="3" fontId="7" fillId="0" borderId="1" xfId="5" applyNumberFormat="1" applyBorder="1" applyAlignment="1">
      <alignment vertical="center" wrapText="1"/>
    </xf>
    <xf numFmtId="3" fontId="9" fillId="5" borderId="1" xfId="5" applyNumberFormat="1" applyFont="1" applyFill="1" applyBorder="1" applyAlignment="1">
      <alignment vertical="center" wrapText="1"/>
    </xf>
    <xf numFmtId="3" fontId="17" fillId="5" borderId="1" xfId="8" applyNumberFormat="1" applyFont="1" applyFill="1" applyBorder="1" applyAlignment="1">
      <alignment vertical="center" wrapText="1"/>
    </xf>
    <xf numFmtId="3" fontId="18" fillId="0" borderId="1" xfId="8" applyNumberFormat="1" applyFont="1" applyBorder="1" applyAlignment="1">
      <alignment vertical="center" wrapText="1"/>
    </xf>
    <xf numFmtId="3" fontId="16" fillId="0" borderId="1" xfId="8" applyNumberFormat="1" applyFont="1" applyBorder="1" applyAlignment="1">
      <alignment vertical="center" wrapText="1"/>
    </xf>
    <xf numFmtId="3" fontId="16" fillId="5" borderId="1" xfId="8" applyNumberFormat="1" applyFont="1" applyFill="1" applyBorder="1" applyAlignment="1">
      <alignment vertical="center" wrapText="1"/>
    </xf>
    <xf numFmtId="3" fontId="17" fillId="2" borderId="1" xfId="8" applyNumberFormat="1" applyFont="1" applyFill="1" applyBorder="1" applyAlignment="1">
      <alignment vertical="center" wrapText="1"/>
    </xf>
    <xf numFmtId="3" fontId="20" fillId="0" borderId="1" xfId="8" applyNumberFormat="1" applyFont="1" applyFill="1" applyBorder="1" applyAlignment="1">
      <alignment horizontal="center" vertical="center" wrapText="1"/>
    </xf>
    <xf numFmtId="3" fontId="14" fillId="0" borderId="1" xfId="8" applyNumberFormat="1" applyFont="1" applyFill="1" applyBorder="1" applyAlignment="1">
      <alignment horizontal="center" vertical="center" wrapText="1"/>
    </xf>
    <xf numFmtId="3" fontId="10" fillId="5" borderId="1" xfId="8" applyNumberFormat="1" applyFill="1" applyBorder="1" applyAlignment="1">
      <alignment vertical="center" wrapText="1"/>
    </xf>
    <xf numFmtId="3" fontId="36" fillId="0" borderId="1" xfId="8" applyNumberFormat="1" applyFont="1" applyBorder="1" applyAlignment="1">
      <alignment vertical="center" wrapText="1"/>
    </xf>
    <xf numFmtId="3" fontId="14" fillId="0" borderId="1" xfId="8" applyNumberFormat="1" applyFont="1" applyFill="1" applyBorder="1" applyAlignment="1">
      <alignment horizontal="right" vertical="center" wrapText="1"/>
    </xf>
    <xf numFmtId="3" fontId="16" fillId="4" borderId="1" xfId="8" applyNumberFormat="1" applyFont="1" applyFill="1" applyBorder="1"/>
    <xf numFmtId="0" fontId="30" fillId="7" borderId="1" xfId="12" applyFont="1" applyFill="1" applyBorder="1" applyAlignment="1">
      <alignment horizontal="center" vertical="center" wrapText="1"/>
    </xf>
    <xf numFmtId="0" fontId="44" fillId="0" borderId="0" xfId="12"/>
    <xf numFmtId="0" fontId="44" fillId="0" borderId="1" xfId="12" applyBorder="1" applyAlignment="1">
      <alignment vertical="center" wrapText="1"/>
    </xf>
    <xf numFmtId="0" fontId="32" fillId="0" borderId="1" xfId="12" applyFont="1" applyBorder="1" applyAlignment="1">
      <alignment horizontal="center" vertical="center" wrapText="1"/>
    </xf>
    <xf numFmtId="0" fontId="32" fillId="0" borderId="1" xfId="12" applyFont="1" applyBorder="1" applyAlignment="1">
      <alignment vertical="center" wrapText="1"/>
    </xf>
    <xf numFmtId="3" fontId="3" fillId="0" borderId="1" xfId="12" applyNumberFormat="1" applyFont="1" applyBorder="1" applyAlignment="1">
      <alignment vertical="center" wrapText="1"/>
    </xf>
    <xf numFmtId="0" fontId="3" fillId="0" borderId="1" xfId="12" applyFont="1" applyBorder="1" applyAlignment="1">
      <alignment vertical="center" wrapText="1"/>
    </xf>
    <xf numFmtId="0" fontId="3" fillId="0" borderId="1" xfId="12" applyFont="1" applyBorder="1" applyAlignment="1">
      <alignment horizontal="right" vertical="center" wrapText="1"/>
    </xf>
    <xf numFmtId="0" fontId="5" fillId="0" borderId="1" xfId="12" applyFont="1" applyBorder="1" applyAlignment="1">
      <alignment horizontal="right" vertical="center" wrapText="1"/>
    </xf>
    <xf numFmtId="0" fontId="5" fillId="0" borderId="1" xfId="12" applyFont="1" applyBorder="1" applyAlignment="1">
      <alignment horizontal="center" vertical="center" wrapText="1"/>
    </xf>
    <xf numFmtId="3" fontId="3" fillId="0" borderId="1" xfId="12" applyNumberFormat="1" applyFont="1" applyBorder="1" applyAlignment="1">
      <alignment horizontal="right" vertical="center" wrapText="1"/>
    </xf>
    <xf numFmtId="49" fontId="6" fillId="0" borderId="1" xfId="12" applyNumberFormat="1" applyFont="1" applyBorder="1" applyAlignment="1">
      <alignment horizontal="center" vertical="center" wrapText="1"/>
    </xf>
    <xf numFmtId="0" fontId="6" fillId="0" borderId="1" xfId="12" applyFont="1" applyBorder="1" applyAlignment="1">
      <alignment horizontal="center" vertical="center" wrapText="1"/>
    </xf>
    <xf numFmtId="0" fontId="6" fillId="0" borderId="1" xfId="12" applyFont="1" applyBorder="1" applyAlignment="1">
      <alignment horizontal="right" vertical="center" wrapText="1"/>
    </xf>
    <xf numFmtId="3" fontId="6" fillId="0" borderId="1" xfId="12" applyNumberFormat="1" applyFont="1" applyBorder="1" applyAlignment="1">
      <alignment horizontal="right" vertical="center" wrapText="1"/>
    </xf>
    <xf numFmtId="3" fontId="5" fillId="0" borderId="1" xfId="12" applyNumberFormat="1" applyFont="1" applyBorder="1" applyAlignment="1">
      <alignment horizontal="right" vertical="center" wrapText="1"/>
    </xf>
    <xf numFmtId="0" fontId="3" fillId="0" borderId="1" xfId="12" applyFont="1" applyBorder="1" applyAlignment="1">
      <alignment horizontal="center" vertical="center" wrapText="1"/>
    </xf>
    <xf numFmtId="0" fontId="6" fillId="0" borderId="1" xfId="12" applyFont="1" applyFill="1" applyBorder="1" applyAlignment="1">
      <alignment horizontal="center" vertical="center" wrapText="1"/>
    </xf>
    <xf numFmtId="3" fontId="6" fillId="3" borderId="1" xfId="12" applyNumberFormat="1" applyFont="1" applyFill="1" applyBorder="1" applyAlignment="1">
      <alignment horizontal="right" vertical="center" wrapText="1"/>
    </xf>
    <xf numFmtId="49" fontId="6" fillId="3" borderId="1" xfId="12" applyNumberFormat="1" applyFont="1" applyFill="1" applyBorder="1" applyAlignment="1">
      <alignment horizontal="center" vertical="center" wrapText="1"/>
    </xf>
    <xf numFmtId="0" fontId="6" fillId="4" borderId="1" xfId="12" applyFont="1" applyFill="1" applyBorder="1" applyAlignment="1">
      <alignment horizontal="center" vertical="center" wrapText="1"/>
    </xf>
    <xf numFmtId="0" fontId="6" fillId="3" borderId="1" xfId="12" applyFont="1" applyFill="1" applyBorder="1" applyAlignment="1">
      <alignment horizontal="right" vertical="center" wrapText="1"/>
    </xf>
    <xf numFmtId="49" fontId="6" fillId="5" borderId="1" xfId="12" applyNumberFormat="1" applyFont="1" applyFill="1" applyBorder="1" applyAlignment="1">
      <alignment horizontal="center" vertical="center" wrapText="1"/>
    </xf>
    <xf numFmtId="0" fontId="6" fillId="5" borderId="1" xfId="12" applyFont="1" applyFill="1" applyBorder="1" applyAlignment="1">
      <alignment horizontal="center" vertical="center" wrapText="1"/>
    </xf>
    <xf numFmtId="3" fontId="2" fillId="5" borderId="1" xfId="12" applyNumberFormat="1" applyFont="1" applyFill="1" applyBorder="1" applyAlignment="1">
      <alignment horizontal="right" vertical="center" wrapText="1"/>
    </xf>
    <xf numFmtId="3" fontId="5" fillId="5" borderId="1" xfId="12" applyNumberFormat="1" applyFont="1" applyFill="1" applyBorder="1" applyAlignment="1">
      <alignment horizontal="right" vertical="center" wrapText="1"/>
    </xf>
    <xf numFmtId="0" fontId="2" fillId="0" borderId="1" xfId="12" applyFont="1" applyBorder="1" applyAlignment="1">
      <alignment horizontal="center" vertical="center" wrapText="1"/>
    </xf>
    <xf numFmtId="0" fontId="2" fillId="0" borderId="1" xfId="12" applyFont="1" applyBorder="1" applyAlignment="1">
      <alignment horizontal="right" vertical="center" wrapText="1"/>
    </xf>
    <xf numFmtId="0" fontId="3" fillId="3" borderId="1" xfId="12" applyFont="1" applyFill="1" applyBorder="1" applyAlignment="1">
      <alignment horizontal="center" vertical="center" wrapText="1"/>
    </xf>
    <xf numFmtId="0" fontId="3" fillId="3" borderId="1" xfId="12" applyFont="1" applyFill="1" applyBorder="1" applyAlignment="1">
      <alignment horizontal="right" vertical="center" wrapText="1"/>
    </xf>
    <xf numFmtId="0" fontId="3" fillId="5" borderId="1" xfId="12" applyFont="1" applyFill="1" applyBorder="1" applyAlignment="1">
      <alignment horizontal="center" vertical="center" wrapText="1"/>
    </xf>
    <xf numFmtId="49" fontId="5" fillId="0" borderId="1" xfId="12" applyNumberFormat="1" applyFont="1" applyBorder="1" applyAlignment="1">
      <alignment horizontal="center" vertical="center" wrapText="1"/>
    </xf>
    <xf numFmtId="0" fontId="3" fillId="5" borderId="1" xfId="12" applyFont="1" applyFill="1" applyBorder="1" applyAlignment="1">
      <alignment horizontal="right" vertical="center" wrapText="1"/>
    </xf>
    <xf numFmtId="3" fontId="5" fillId="3" borderId="1" xfId="12" applyNumberFormat="1" applyFont="1" applyFill="1" applyBorder="1" applyAlignment="1">
      <alignment horizontal="right" vertical="center" wrapText="1"/>
    </xf>
    <xf numFmtId="0" fontId="6" fillId="5" borderId="1" xfId="12" applyFont="1" applyFill="1" applyBorder="1" applyAlignment="1">
      <alignment horizontal="right" vertical="center" wrapText="1"/>
    </xf>
    <xf numFmtId="0" fontId="44" fillId="5" borderId="1" xfId="12" applyFill="1" applyBorder="1" applyAlignment="1">
      <alignment horizontal="center" vertical="center" wrapText="1"/>
    </xf>
    <xf numFmtId="0" fontId="5" fillId="0" borderId="1" xfId="12" applyFont="1" applyFill="1" applyBorder="1" applyAlignment="1">
      <alignment horizontal="center" vertical="center" wrapText="1"/>
    </xf>
    <xf numFmtId="0" fontId="5" fillId="0" borderId="1" xfId="12" applyFont="1" applyFill="1" applyBorder="1" applyAlignment="1">
      <alignment horizontal="right" vertical="center" wrapText="1"/>
    </xf>
    <xf numFmtId="3" fontId="5" fillId="0" borderId="1" xfId="12" applyNumberFormat="1" applyFont="1" applyFill="1" applyBorder="1" applyAlignment="1">
      <alignment horizontal="right" vertical="center" wrapText="1"/>
    </xf>
    <xf numFmtId="49" fontId="6" fillId="4" borderId="1" xfId="12" applyNumberFormat="1" applyFont="1" applyFill="1" applyBorder="1" applyAlignment="1">
      <alignment horizontal="center" vertical="center" wrapText="1"/>
    </xf>
    <xf numFmtId="0" fontId="2" fillId="7" borderId="1" xfId="12" applyFont="1" applyFill="1" applyBorder="1" applyAlignment="1">
      <alignment horizontal="center" vertical="center" wrapText="1"/>
    </xf>
    <xf numFmtId="3" fontId="5" fillId="7" borderId="1" xfId="12" applyNumberFormat="1" applyFont="1" applyFill="1" applyBorder="1" applyAlignment="1">
      <alignment horizontal="right" vertical="center" wrapText="1"/>
    </xf>
    <xf numFmtId="0" fontId="44" fillId="0" borderId="1" xfId="12" applyBorder="1" applyAlignment="1">
      <alignment horizontal="center" vertical="center" wrapText="1"/>
    </xf>
    <xf numFmtId="0" fontId="32" fillId="0" borderId="1" xfId="12" applyFont="1" applyBorder="1" applyAlignment="1">
      <alignment horizontal="right" vertical="center" wrapText="1"/>
    </xf>
    <xf numFmtId="0" fontId="42" fillId="0" borderId="1" xfId="12" applyFont="1" applyBorder="1" applyAlignment="1">
      <alignment horizontal="center" vertical="center" wrapText="1"/>
    </xf>
    <xf numFmtId="0" fontId="42" fillId="0" borderId="1" xfId="12" applyFont="1" applyBorder="1" applyAlignment="1">
      <alignment horizontal="right" vertical="center" wrapText="1"/>
    </xf>
    <xf numFmtId="3" fontId="6" fillId="0" borderId="1" xfId="12" applyNumberFormat="1" applyFont="1" applyFill="1" applyBorder="1" applyAlignment="1">
      <alignment horizontal="right" vertical="center" wrapText="1"/>
    </xf>
    <xf numFmtId="0" fontId="5" fillId="7" borderId="1" xfId="12" applyFont="1" applyFill="1" applyBorder="1" applyAlignment="1">
      <alignment horizontal="center" vertical="center" wrapText="1"/>
    </xf>
    <xf numFmtId="164" fontId="5" fillId="7" borderId="1" xfId="12" applyNumberFormat="1" applyFont="1" applyFill="1" applyBorder="1" applyAlignment="1">
      <alignment horizontal="right" vertical="center" wrapText="1"/>
    </xf>
    <xf numFmtId="164" fontId="5" fillId="4" borderId="1" xfId="12" applyNumberFormat="1" applyFont="1" applyFill="1" applyBorder="1" applyAlignment="1">
      <alignment horizontal="right" vertical="center" wrapText="1"/>
    </xf>
    <xf numFmtId="3" fontId="5" fillId="4" borderId="1" xfId="12" applyNumberFormat="1" applyFont="1" applyFill="1" applyBorder="1" applyAlignment="1">
      <alignment horizontal="right" vertical="center" wrapText="1"/>
    </xf>
    <xf numFmtId="164" fontId="6" fillId="4" borderId="1" xfId="12" applyNumberFormat="1" applyFont="1" applyFill="1" applyBorder="1" applyAlignment="1">
      <alignment horizontal="right" vertical="center" wrapText="1"/>
    </xf>
    <xf numFmtId="3" fontId="6" fillId="4" borderId="1" xfId="12" applyNumberFormat="1" applyFont="1" applyFill="1" applyBorder="1" applyAlignment="1">
      <alignment horizontal="right" vertical="center" wrapText="1"/>
    </xf>
    <xf numFmtId="164" fontId="5" fillId="7" borderId="1" xfId="12" applyNumberFormat="1" applyFont="1" applyFill="1" applyBorder="1" applyAlignment="1">
      <alignment horizontal="center" vertical="center" wrapText="1"/>
    </xf>
    <xf numFmtId="0" fontId="5" fillId="6" borderId="1" xfId="12" applyFont="1" applyFill="1" applyBorder="1" applyAlignment="1">
      <alignment horizontal="center" vertical="center" wrapText="1"/>
    </xf>
    <xf numFmtId="164" fontId="5" fillId="6" borderId="1" xfId="12" applyNumberFormat="1" applyFont="1" applyFill="1" applyBorder="1" applyAlignment="1">
      <alignment horizontal="right" vertical="center" wrapText="1"/>
    </xf>
    <xf numFmtId="3" fontId="5" fillId="6" borderId="1" xfId="12" applyNumberFormat="1" applyFont="1" applyFill="1" applyBorder="1" applyAlignment="1">
      <alignment horizontal="right" vertical="center" wrapText="1"/>
    </xf>
    <xf numFmtId="0" fontId="5" fillId="0" borderId="1" xfId="12" applyFont="1" applyBorder="1" applyAlignment="1">
      <alignment horizontal="center" vertical="distributed"/>
    </xf>
    <xf numFmtId="0" fontId="32" fillId="0" borderId="1" xfId="12" applyFont="1" applyFill="1" applyBorder="1" applyAlignment="1">
      <alignment horizontal="left" vertical="center"/>
    </xf>
    <xf numFmtId="0" fontId="5" fillId="0" borderId="1" xfId="12" applyFont="1" applyBorder="1" applyAlignment="1">
      <alignment horizontal="center"/>
    </xf>
    <xf numFmtId="0" fontId="44" fillId="0" borderId="1" xfId="12" applyBorder="1"/>
    <xf numFmtId="0" fontId="5" fillId="0" borderId="1" xfId="12" applyFont="1" applyBorder="1" applyAlignment="1">
      <alignment vertical="center"/>
    </xf>
    <xf numFmtId="49" fontId="6" fillId="0" borderId="1" xfId="12" applyNumberFormat="1" applyFont="1" applyBorder="1" applyAlignment="1">
      <alignment horizontal="center" vertical="center"/>
    </xf>
    <xf numFmtId="0" fontId="6" fillId="0" borderId="1" xfId="12" applyFont="1" applyBorder="1" applyAlignment="1">
      <alignment horizontal="center" vertical="center"/>
    </xf>
    <xf numFmtId="0" fontId="3" fillId="0" borderId="1" xfId="12" applyFont="1" applyBorder="1" applyAlignment="1">
      <alignment horizontal="center" vertical="center"/>
    </xf>
    <xf numFmtId="0" fontId="6" fillId="0" borderId="1" xfId="12" applyFont="1" applyFill="1" applyBorder="1" applyAlignment="1">
      <alignment horizontal="center" vertical="center"/>
    </xf>
    <xf numFmtId="0" fontId="33" fillId="0" borderId="1" xfId="12" applyFont="1" applyBorder="1" applyAlignment="1">
      <alignment horizontal="center"/>
    </xf>
    <xf numFmtId="49" fontId="6" fillId="5" borderId="1" xfId="12" applyNumberFormat="1" applyFont="1" applyFill="1" applyBorder="1" applyAlignment="1">
      <alignment horizontal="center" vertical="center"/>
    </xf>
    <xf numFmtId="0" fontId="6" fillId="5" borderId="1" xfId="12" applyFont="1" applyFill="1" applyBorder="1" applyAlignment="1">
      <alignment horizontal="center" vertical="center"/>
    </xf>
    <xf numFmtId="0" fontId="5" fillId="0" borderId="1" xfId="12" applyFont="1" applyBorder="1" applyAlignment="1">
      <alignment horizontal="center" vertical="center"/>
    </xf>
    <xf numFmtId="0" fontId="2" fillId="0" borderId="1" xfId="12" applyFont="1" applyBorder="1" applyAlignment="1">
      <alignment horizontal="center" vertical="center"/>
    </xf>
    <xf numFmtId="49" fontId="5" fillId="0" borderId="1" xfId="12" applyNumberFormat="1" applyFont="1" applyBorder="1" applyAlignment="1">
      <alignment horizontal="center" vertical="distributed"/>
    </xf>
    <xf numFmtId="0" fontId="3" fillId="5" borderId="1" xfId="12" applyFont="1" applyFill="1" applyBorder="1" applyAlignment="1">
      <alignment horizontal="center" vertical="center"/>
    </xf>
    <xf numFmtId="0" fontId="5" fillId="0" borderId="1" xfId="12" applyFont="1" applyFill="1" applyBorder="1" applyAlignment="1">
      <alignment horizontal="center" vertical="center"/>
    </xf>
    <xf numFmtId="49" fontId="6" fillId="4" borderId="1" xfId="12" applyNumberFormat="1" applyFont="1" applyFill="1" applyBorder="1" applyAlignment="1">
      <alignment horizontal="center" vertical="center"/>
    </xf>
    <xf numFmtId="0" fontId="6" fillId="4" borderId="1" xfId="12" applyFont="1" applyFill="1" applyBorder="1" applyAlignment="1">
      <alignment horizontal="center" vertical="center"/>
    </xf>
    <xf numFmtId="0" fontId="32" fillId="0" borderId="1" xfId="12" applyFont="1" applyBorder="1" applyAlignment="1">
      <alignment horizontal="center" vertical="center"/>
    </xf>
    <xf numFmtId="0" fontId="42" fillId="0" borderId="1" xfId="12" applyFont="1" applyBorder="1" applyAlignment="1">
      <alignment horizontal="center" vertical="center"/>
    </xf>
    <xf numFmtId="49" fontId="3" fillId="0" borderId="1" xfId="12" applyNumberFormat="1" applyFont="1" applyBorder="1" applyAlignment="1">
      <alignment horizontal="center" vertical="center"/>
    </xf>
    <xf numFmtId="49" fontId="6" fillId="0" borderId="1" xfId="12" applyNumberFormat="1" applyFont="1" applyBorder="1" applyAlignment="1">
      <alignment horizontal="center"/>
    </xf>
    <xf numFmtId="0" fontId="44" fillId="4" borderId="1" xfId="12" applyFill="1" applyBorder="1"/>
    <xf numFmtId="3" fontId="7" fillId="0" borderId="0" xfId="7" applyNumberFormat="1" applyFont="1"/>
    <xf numFmtId="0" fontId="0" fillId="6" borderId="1" xfId="0" applyFill="1" applyBorder="1"/>
    <xf numFmtId="0" fontId="33" fillId="6" borderId="1" xfId="0" applyFont="1" applyFill="1" applyBorder="1"/>
    <xf numFmtId="0" fontId="0" fillId="0" borderId="0" xfId="0" applyFill="1"/>
    <xf numFmtId="0" fontId="11" fillId="0" borderId="0" xfId="7" applyFont="1"/>
    <xf numFmtId="0" fontId="11" fillId="7" borderId="1" xfId="9" applyFont="1" applyFill="1" applyBorder="1" applyAlignment="1">
      <alignment horizontal="center" vertical="center" wrapText="1"/>
    </xf>
    <xf numFmtId="0" fontId="10" fillId="7" borderId="1" xfId="12" applyFont="1" applyFill="1" applyBorder="1" applyAlignment="1">
      <alignment horizontal="center" vertical="center" wrapText="1"/>
    </xf>
    <xf numFmtId="3" fontId="7" fillId="4" borderId="1" xfId="5" applyNumberFormat="1" applyFont="1" applyFill="1" applyBorder="1" applyAlignment="1">
      <alignment horizontal="right"/>
    </xf>
    <xf numFmtId="3" fontId="13" fillId="4" borderId="1" xfId="6" applyNumberFormat="1" applyFont="1" applyFill="1" applyBorder="1" applyAlignment="1">
      <alignment horizontal="right" vertical="center"/>
    </xf>
    <xf numFmtId="3" fontId="12" fillId="4" borderId="1" xfId="6" applyNumberFormat="1" applyFont="1" applyFill="1" applyBorder="1" applyAlignment="1">
      <alignment horizontal="right" vertical="center"/>
    </xf>
    <xf numFmtId="0" fontId="44" fillId="7" borderId="1" xfId="12" applyFont="1" applyFill="1" applyBorder="1" applyAlignment="1">
      <alignment horizontal="center" vertical="center"/>
    </xf>
    <xf numFmtId="0" fontId="44" fillId="7" borderId="1" xfId="12" applyFont="1" applyFill="1" applyBorder="1" applyAlignment="1">
      <alignment horizontal="center" vertical="center" wrapText="1"/>
    </xf>
    <xf numFmtId="3" fontId="32" fillId="0" borderId="1" xfId="12" applyNumberFormat="1" applyFont="1" applyFill="1" applyBorder="1" applyAlignment="1">
      <alignment horizontal="right" vertical="center"/>
    </xf>
    <xf numFmtId="3" fontId="30" fillId="0" borderId="1" xfId="12" applyNumberFormat="1" applyFont="1" applyFill="1" applyBorder="1" applyAlignment="1">
      <alignment horizontal="right" vertical="distributed"/>
    </xf>
    <xf numFmtId="3" fontId="5" fillId="0" borderId="1" xfId="12" applyNumberFormat="1" applyFont="1" applyBorder="1" applyAlignment="1">
      <alignment horizontal="right" vertical="center"/>
    </xf>
    <xf numFmtId="3" fontId="3" fillId="0" borderId="1" xfId="12" applyNumberFormat="1" applyFont="1" applyBorder="1" applyAlignment="1">
      <alignment horizontal="right" vertical="center"/>
    </xf>
    <xf numFmtId="3" fontId="6" fillId="0" borderId="1" xfId="12" applyNumberFormat="1" applyFont="1" applyBorder="1" applyAlignment="1">
      <alignment horizontal="right" vertical="center"/>
    </xf>
    <xf numFmtId="3" fontId="6" fillId="0" borderId="1" xfId="12" applyNumberFormat="1" applyFont="1" applyFill="1" applyBorder="1" applyAlignment="1">
      <alignment horizontal="right" vertical="center"/>
    </xf>
    <xf numFmtId="3" fontId="2" fillId="0" borderId="1" xfId="12" applyNumberFormat="1" applyFont="1" applyBorder="1" applyAlignment="1">
      <alignment horizontal="right" vertical="center"/>
    </xf>
    <xf numFmtId="3" fontId="2" fillId="5" borderId="1" xfId="13" applyNumberFormat="1" applyFont="1" applyFill="1" applyBorder="1" applyAlignment="1">
      <alignment horizontal="right" vertical="center"/>
    </xf>
    <xf numFmtId="3" fontId="2" fillId="5" borderId="1" xfId="12" applyNumberFormat="1" applyFont="1" applyFill="1" applyBorder="1" applyAlignment="1">
      <alignment horizontal="right" vertical="center"/>
    </xf>
    <xf numFmtId="3" fontId="6" fillId="4" borderId="1" xfId="12" applyNumberFormat="1" applyFont="1" applyFill="1" applyBorder="1" applyAlignment="1">
      <alignment horizontal="right" vertical="center"/>
    </xf>
    <xf numFmtId="3" fontId="2" fillId="4" borderId="1" xfId="12" applyNumberFormat="1" applyFont="1" applyFill="1" applyBorder="1" applyAlignment="1">
      <alignment horizontal="right" vertical="center"/>
    </xf>
    <xf numFmtId="3" fontId="3" fillId="4" borderId="1" xfId="12" applyNumberFormat="1" applyFont="1" applyFill="1" applyBorder="1" applyAlignment="1">
      <alignment horizontal="right" vertical="center"/>
    </xf>
    <xf numFmtId="3" fontId="2" fillId="7" borderId="1" xfId="12" applyNumberFormat="1" applyFont="1" applyFill="1" applyBorder="1" applyAlignment="1">
      <alignment horizontal="right" vertical="center"/>
    </xf>
    <xf numFmtId="3" fontId="2" fillId="0" borderId="1" xfId="12" applyNumberFormat="1" applyFont="1" applyFill="1" applyBorder="1" applyAlignment="1">
      <alignment horizontal="right" vertical="center"/>
    </xf>
    <xf numFmtId="3" fontId="3" fillId="0" borderId="1" xfId="12" applyNumberFormat="1" applyFont="1" applyFill="1" applyBorder="1" applyAlignment="1">
      <alignment horizontal="right" vertical="center"/>
    </xf>
    <xf numFmtId="3" fontId="2" fillId="8" borderId="1" xfId="12" applyNumberFormat="1" applyFont="1" applyFill="1" applyBorder="1" applyAlignment="1">
      <alignment horizontal="right" vertical="center"/>
    </xf>
    <xf numFmtId="3" fontId="2" fillId="0" borderId="1" xfId="12" applyNumberFormat="1" applyFont="1" applyFill="1" applyBorder="1" applyAlignment="1">
      <alignment horizontal="right" vertical="distributed"/>
    </xf>
    <xf numFmtId="3" fontId="32" fillId="0" borderId="1" xfId="12" applyNumberFormat="1" applyFont="1" applyBorder="1" applyAlignment="1">
      <alignment horizontal="right" vertical="center" wrapText="1"/>
    </xf>
    <xf numFmtId="3" fontId="7" fillId="0" borderId="1" xfId="5" applyNumberFormat="1" applyFont="1" applyFill="1" applyBorder="1"/>
    <xf numFmtId="3" fontId="7" fillId="0" borderId="1" xfId="5" applyNumberFormat="1" applyFont="1" applyFill="1" applyBorder="1" applyAlignment="1">
      <alignment horizontal="right"/>
    </xf>
    <xf numFmtId="0" fontId="13" fillId="7" borderId="9" xfId="6" applyFont="1" applyFill="1" applyBorder="1" applyAlignment="1">
      <alignment horizontal="center" vertical="center" wrapText="1"/>
    </xf>
    <xf numFmtId="0" fontId="13" fillId="7" borderId="2" xfId="6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3" fontId="12" fillId="4" borderId="1" xfId="4" applyNumberFormat="1" applyFont="1" applyFill="1" applyBorder="1"/>
    <xf numFmtId="0" fontId="12" fillId="4" borderId="1" xfId="10" applyFont="1" applyFill="1" applyBorder="1"/>
    <xf numFmtId="3" fontId="12" fillId="4" borderId="1" xfId="1" applyNumberFormat="1" applyFont="1" applyFill="1" applyBorder="1" applyAlignment="1">
      <alignment vertical="center"/>
    </xf>
    <xf numFmtId="3" fontId="12" fillId="4" borderId="1" xfId="1" applyNumberFormat="1" applyFont="1" applyFill="1" applyBorder="1" applyAlignment="1">
      <alignment horizontal="right" vertical="center"/>
    </xf>
    <xf numFmtId="0" fontId="12" fillId="0" borderId="6" xfId="1" applyFont="1" applyBorder="1" applyAlignment="1">
      <alignment vertical="center"/>
    </xf>
    <xf numFmtId="3" fontId="12" fillId="0" borderId="1" xfId="4" applyNumberFormat="1" applyFont="1" applyFill="1" applyBorder="1"/>
    <xf numFmtId="3" fontId="12" fillId="0" borderId="6" xfId="1" applyNumberFormat="1" applyFont="1" applyFill="1" applyBorder="1" applyAlignment="1">
      <alignment vertical="center"/>
    </xf>
    <xf numFmtId="3" fontId="12" fillId="0" borderId="0" xfId="4" applyNumberFormat="1" applyFont="1" applyFill="1" applyBorder="1"/>
    <xf numFmtId="3" fontId="12" fillId="0" borderId="8" xfId="1" applyNumberFormat="1" applyFont="1" applyFill="1" applyBorder="1" applyAlignment="1">
      <alignment vertical="center"/>
    </xf>
    <xf numFmtId="164" fontId="12" fillId="0" borderId="8" xfId="1" applyNumberFormat="1" applyFont="1" applyBorder="1" applyAlignment="1">
      <alignment vertical="center"/>
    </xf>
    <xf numFmtId="4" fontId="12" fillId="0" borderId="8" xfId="1" applyNumberFormat="1" applyFont="1" applyFill="1" applyBorder="1" applyAlignment="1">
      <alignment vertical="center"/>
    </xf>
    <xf numFmtId="0" fontId="12" fillId="0" borderId="8" xfId="1" applyFont="1" applyBorder="1" applyAlignment="1">
      <alignment vertical="center"/>
    </xf>
    <xf numFmtId="3" fontId="12" fillId="0" borderId="9" xfId="4" applyNumberFormat="1" applyFont="1" applyFill="1" applyBorder="1"/>
    <xf numFmtId="0" fontId="12" fillId="0" borderId="9" xfId="10" applyFont="1" applyBorder="1"/>
    <xf numFmtId="0" fontId="12" fillId="0" borderId="10" xfId="1" applyFont="1" applyBorder="1" applyAlignment="1">
      <alignment vertical="center"/>
    </xf>
    <xf numFmtId="0" fontId="12" fillId="0" borderId="1" xfId="1" applyFont="1" applyBorder="1" applyAlignment="1">
      <alignment vertical="center"/>
    </xf>
    <xf numFmtId="3" fontId="12" fillId="0" borderId="1" xfId="1" applyNumberFormat="1" applyFont="1" applyFill="1" applyBorder="1" applyAlignment="1">
      <alignment vertical="center"/>
    </xf>
    <xf numFmtId="0" fontId="13" fillId="0" borderId="1" xfId="1" applyFont="1" applyBorder="1" applyAlignment="1">
      <alignment vertical="center"/>
    </xf>
    <xf numFmtId="0" fontId="12" fillId="0" borderId="1" xfId="10" applyFont="1" applyBorder="1"/>
    <xf numFmtId="0" fontId="13" fillId="5" borderId="1" xfId="1" applyFont="1" applyFill="1" applyBorder="1" applyAlignment="1">
      <alignment vertical="center"/>
    </xf>
    <xf numFmtId="0" fontId="12" fillId="4" borderId="1" xfId="1" applyFont="1" applyFill="1" applyBorder="1" applyAlignment="1">
      <alignment vertical="center"/>
    </xf>
    <xf numFmtId="0" fontId="13" fillId="5" borderId="1" xfId="1" applyFont="1" applyFill="1" applyBorder="1" applyAlignment="1">
      <alignment horizontal="left" vertical="center"/>
    </xf>
    <xf numFmtId="3" fontId="13" fillId="5" borderId="1" xfId="1" applyNumberFormat="1" applyFont="1" applyFill="1" applyBorder="1" applyAlignment="1">
      <alignment horizontal="right" vertical="center"/>
    </xf>
    <xf numFmtId="0" fontId="13" fillId="7" borderId="1" xfId="4" applyFont="1" applyFill="1" applyBorder="1"/>
    <xf numFmtId="0" fontId="12" fillId="4" borderId="1" xfId="1" applyFont="1" applyFill="1" applyBorder="1" applyAlignment="1">
      <alignment horizontal="left" vertical="center"/>
    </xf>
    <xf numFmtId="3" fontId="12" fillId="4" borderId="1" xfId="1" applyNumberFormat="1" applyFont="1" applyFill="1" applyBorder="1" applyAlignment="1">
      <alignment horizontal="left" vertical="center"/>
    </xf>
    <xf numFmtId="3" fontId="13" fillId="5" borderId="1" xfId="1" applyNumberFormat="1" applyFont="1" applyFill="1" applyBorder="1" applyAlignment="1">
      <alignment horizontal="center" vertical="center"/>
    </xf>
    <xf numFmtId="3" fontId="12" fillId="7" borderId="1" xfId="10" applyNumberFormat="1" applyFont="1" applyFill="1" applyBorder="1"/>
    <xf numFmtId="3" fontId="13" fillId="7" borderId="1" xfId="1" applyNumberFormat="1" applyFont="1" applyFill="1" applyBorder="1" applyAlignment="1">
      <alignment horizontal="right" vertical="center"/>
    </xf>
    <xf numFmtId="3" fontId="13" fillId="7" borderId="1" xfId="4" applyNumberFormat="1" applyFont="1" applyFill="1" applyBorder="1" applyAlignment="1">
      <alignment horizontal="right"/>
    </xf>
    <xf numFmtId="3" fontId="13" fillId="7" borderId="1" xfId="10" applyNumberFormat="1" applyFont="1" applyFill="1" applyBorder="1" applyAlignment="1">
      <alignment horizontal="right"/>
    </xf>
    <xf numFmtId="3" fontId="13" fillId="5" borderId="1" xfId="4" applyNumberFormat="1" applyFont="1" applyFill="1" applyBorder="1" applyAlignment="1">
      <alignment horizontal="right"/>
    </xf>
    <xf numFmtId="3" fontId="12" fillId="7" borderId="1" xfId="10" applyNumberFormat="1" applyFont="1" applyFill="1" applyBorder="1" applyAlignment="1">
      <alignment horizontal="right"/>
    </xf>
    <xf numFmtId="0" fontId="12" fillId="0" borderId="1" xfId="0" applyFont="1" applyBorder="1"/>
    <xf numFmtId="0" fontId="21" fillId="0" borderId="1" xfId="0" applyFont="1" applyBorder="1"/>
    <xf numFmtId="0" fontId="13" fillId="7" borderId="1" xfId="0" applyFont="1" applyFill="1" applyBorder="1"/>
    <xf numFmtId="3" fontId="21" fillId="0" borderId="1" xfId="0" applyNumberFormat="1" applyFont="1" applyBorder="1"/>
    <xf numFmtId="3" fontId="13" fillId="7" borderId="1" xfId="0" applyNumberFormat="1" applyFont="1" applyFill="1" applyBorder="1"/>
    <xf numFmtId="3" fontId="12" fillId="0" borderId="1" xfId="0" applyNumberFormat="1" applyFont="1" applyBorder="1"/>
    <xf numFmtId="0" fontId="13" fillId="4" borderId="1" xfId="6" applyFont="1" applyFill="1" applyBorder="1" applyAlignment="1">
      <alignment horizontal="left"/>
    </xf>
    <xf numFmtId="0" fontId="12" fillId="0" borderId="1" xfId="6" applyFont="1" applyBorder="1" applyAlignment="1">
      <alignment horizontal="center"/>
    </xf>
    <xf numFmtId="0" fontId="12" fillId="0" borderId="4" xfId="6" applyFont="1" applyBorder="1"/>
    <xf numFmtId="49" fontId="13" fillId="4" borderId="1" xfId="6" applyNumberFormat="1" applyFont="1" applyFill="1" applyBorder="1" applyAlignment="1">
      <alignment horizontal="center"/>
    </xf>
    <xf numFmtId="49" fontId="12" fillId="4" borderId="1" xfId="6" applyNumberFormat="1" applyFont="1" applyFill="1" applyBorder="1" applyAlignment="1">
      <alignment horizontal="center"/>
    </xf>
    <xf numFmtId="0" fontId="12" fillId="4" borderId="1" xfId="6" applyFont="1" applyFill="1" applyBorder="1" applyAlignment="1">
      <alignment horizontal="left"/>
    </xf>
    <xf numFmtId="0" fontId="9" fillId="7" borderId="1" xfId="11" applyFont="1" applyFill="1" applyBorder="1" applyAlignment="1">
      <alignment horizontal="center" vertical="center" wrapText="1"/>
    </xf>
    <xf numFmtId="0" fontId="9" fillId="0" borderId="2" xfId="11" applyFont="1" applyFill="1" applyBorder="1" applyAlignment="1">
      <alignment vertical="center" wrapText="1"/>
    </xf>
    <xf numFmtId="0" fontId="37" fillId="0" borderId="2" xfId="11" applyFont="1" applyBorder="1" applyAlignment="1">
      <alignment vertical="center" wrapText="1"/>
    </xf>
    <xf numFmtId="3" fontId="9" fillId="3" borderId="2" xfId="11" applyNumberFormat="1" applyFont="1" applyFill="1" applyBorder="1" applyAlignment="1">
      <alignment horizontal="center" vertical="center" wrapText="1"/>
    </xf>
    <xf numFmtId="3" fontId="9" fillId="0" borderId="2" xfId="11" applyNumberFormat="1" applyFont="1" applyFill="1" applyBorder="1" applyAlignment="1">
      <alignment horizontal="righ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Border="1" applyAlignment="1">
      <alignment vertical="center" wrapText="1"/>
    </xf>
    <xf numFmtId="3" fontId="7" fillId="0" borderId="1" xfId="11" applyNumberFormat="1" applyFont="1" applyBorder="1" applyAlignment="1">
      <alignment vertical="center" wrapText="1"/>
    </xf>
    <xf numFmtId="0" fontId="7" fillId="0" borderId="2" xfId="11" applyFont="1" applyBorder="1" applyAlignment="1">
      <alignment vertical="center" wrapText="1"/>
    </xf>
    <xf numFmtId="3" fontId="7" fillId="0" borderId="2" xfId="11" applyNumberFormat="1" applyFont="1" applyFill="1" applyBorder="1" applyAlignment="1">
      <alignment horizontal="right" vertical="center" wrapText="1"/>
    </xf>
    <xf numFmtId="0" fontId="9" fillId="5" borderId="2" xfId="11" applyFont="1" applyFill="1" applyBorder="1" applyAlignment="1">
      <alignment horizontal="center" vertical="center" wrapText="1"/>
    </xf>
    <xf numFmtId="0" fontId="9" fillId="5" borderId="2" xfId="11" applyFont="1" applyFill="1" applyBorder="1" applyAlignment="1">
      <alignment vertical="center" wrapText="1"/>
    </xf>
    <xf numFmtId="3" fontId="9" fillId="5" borderId="2" xfId="11" applyNumberFormat="1" applyFont="1" applyFill="1" applyBorder="1" applyAlignment="1">
      <alignment horizontal="right" vertical="center" wrapText="1"/>
    </xf>
    <xf numFmtId="0" fontId="7" fillId="0" borderId="1" xfId="11" applyFont="1" applyBorder="1" applyAlignment="1">
      <alignment vertical="center" wrapText="1"/>
    </xf>
    <xf numFmtId="0" fontId="7" fillId="0" borderId="1" xfId="11" applyFont="1" applyBorder="1" applyAlignment="1">
      <alignment horizontal="left" vertical="center" wrapText="1"/>
    </xf>
    <xf numFmtId="0" fontId="7" fillId="0" borderId="2" xfId="11" applyFont="1" applyBorder="1" applyAlignment="1">
      <alignment horizontal="left" vertical="center" wrapText="1"/>
    </xf>
    <xf numFmtId="16" fontId="7" fillId="0" borderId="1" xfId="11" applyNumberFormat="1" applyBorder="1" applyAlignment="1">
      <alignment horizontal="center" vertical="center" wrapText="1"/>
    </xf>
    <xf numFmtId="3" fontId="9" fillId="5" borderId="1" xfId="11" applyNumberFormat="1" applyFont="1" applyFill="1" applyBorder="1" applyAlignment="1">
      <alignment vertical="center" wrapText="1"/>
    </xf>
    <xf numFmtId="0" fontId="9" fillId="0" borderId="1" xfId="11" applyNumberFormat="1" applyFont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3" fontId="9" fillId="0" borderId="1" xfId="11" applyNumberFormat="1" applyFont="1" applyBorder="1" applyAlignment="1">
      <alignment vertical="center" wrapText="1"/>
    </xf>
    <xf numFmtId="16" fontId="7" fillId="0" borderId="1" xfId="11" applyNumberFormat="1" applyFont="1" applyBorder="1" applyAlignment="1">
      <alignment horizontal="center" vertical="center" wrapText="1"/>
    </xf>
    <xf numFmtId="3" fontId="7" fillId="0" borderId="1" xfId="11" applyNumberFormat="1" applyFont="1" applyFill="1" applyBorder="1" applyAlignment="1">
      <alignment vertical="center" wrapText="1"/>
    </xf>
    <xf numFmtId="16" fontId="7" fillId="0" borderId="2" xfId="11" applyNumberFormat="1" applyFont="1" applyBorder="1" applyAlignment="1">
      <alignment vertical="center" wrapText="1"/>
    </xf>
    <xf numFmtId="16" fontId="7" fillId="0" borderId="2" xfId="11" applyNumberFormat="1" applyFont="1" applyBorder="1" applyAlignment="1">
      <alignment horizontal="left" vertical="center" wrapText="1"/>
    </xf>
    <xf numFmtId="0" fontId="7" fillId="0" borderId="1" xfId="11" applyFont="1" applyBorder="1" applyAlignment="1">
      <alignment horizontal="center" vertical="center" wrapText="1"/>
    </xf>
    <xf numFmtId="0" fontId="9" fillId="5" borderId="1" xfId="11" applyFont="1" applyFill="1" applyBorder="1" applyAlignment="1">
      <alignment vertical="center" wrapText="1"/>
    </xf>
    <xf numFmtId="0" fontId="9" fillId="0" borderId="1" xfId="11" applyFont="1" applyBorder="1" applyAlignment="1">
      <alignment horizontal="center" vertical="center" wrapText="1"/>
    </xf>
    <xf numFmtId="3" fontId="7" fillId="0" borderId="1" xfId="11" applyNumberFormat="1" applyFont="1" applyBorder="1" applyAlignment="1">
      <alignment horizontal="right" vertical="center" wrapText="1"/>
    </xf>
    <xf numFmtId="0" fontId="9" fillId="7" borderId="2" xfId="11" applyFont="1" applyFill="1" applyBorder="1" applyAlignment="1">
      <alignment vertical="center" wrapText="1"/>
    </xf>
    <xf numFmtId="3" fontId="9" fillId="7" borderId="1" xfId="11" applyNumberFormat="1" applyFont="1" applyFill="1" applyBorder="1" applyAlignment="1">
      <alignment vertical="center" wrapText="1"/>
    </xf>
    <xf numFmtId="0" fontId="7" fillId="4" borderId="2" xfId="11" applyFont="1" applyFill="1" applyBorder="1" applyAlignment="1">
      <alignment vertical="center" wrapText="1"/>
    </xf>
    <xf numFmtId="3" fontId="7" fillId="4" borderId="1" xfId="11" applyNumberFormat="1" applyFont="1" applyFill="1" applyBorder="1" applyAlignment="1">
      <alignment vertical="center" wrapText="1"/>
    </xf>
    <xf numFmtId="3" fontId="9" fillId="5" borderId="2" xfId="11" applyNumberFormat="1" applyFont="1" applyFill="1" applyBorder="1" applyAlignment="1">
      <alignment vertical="center" wrapText="1"/>
    </xf>
    <xf numFmtId="0" fontId="23" fillId="0" borderId="1" xfId="11" applyFont="1" applyBorder="1" applyAlignment="1">
      <alignment horizontal="center" vertical="center" wrapText="1"/>
    </xf>
    <xf numFmtId="3" fontId="7" fillId="5" borderId="1" xfId="11" applyNumberFormat="1" applyFont="1" applyFill="1" applyBorder="1" applyAlignment="1">
      <alignment vertical="center" wrapText="1"/>
    </xf>
    <xf numFmtId="0" fontId="13" fillId="0" borderId="1" xfId="6" applyFont="1" applyFill="1" applyBorder="1" applyAlignment="1">
      <alignment horizontal="left" vertical="center" wrapText="1"/>
    </xf>
    <xf numFmtId="0" fontId="24" fillId="7" borderId="1" xfId="11" applyFont="1" applyFill="1" applyBorder="1" applyAlignment="1">
      <alignment horizontal="center" vertical="center" wrapText="1"/>
    </xf>
    <xf numFmtId="16" fontId="9" fillId="5" borderId="2" xfId="11" applyNumberFormat="1" applyFont="1" applyFill="1" applyBorder="1" applyAlignment="1">
      <alignment vertical="center" wrapText="1"/>
    </xf>
    <xf numFmtId="0" fontId="9" fillId="7" borderId="1" xfId="11" applyFont="1" applyFill="1" applyBorder="1" applyAlignment="1">
      <alignment vertical="center" wrapText="1"/>
    </xf>
    <xf numFmtId="3" fontId="7" fillId="0" borderId="1" xfId="11" applyNumberFormat="1" applyBorder="1" applyAlignment="1">
      <alignment vertical="center" wrapText="1"/>
    </xf>
    <xf numFmtId="0" fontId="7" fillId="7" borderId="0" xfId="11" applyFill="1" applyAlignment="1">
      <alignment horizontal="center" vertical="center" wrapText="1"/>
    </xf>
    <xf numFmtId="0" fontId="37" fillId="7" borderId="5" xfId="11" applyFont="1" applyFill="1" applyBorder="1" applyAlignment="1">
      <alignment vertical="center" wrapText="1"/>
    </xf>
    <xf numFmtId="0" fontId="7" fillId="0" borderId="1" xfId="11" applyBorder="1" applyAlignment="1">
      <alignment vertical="center" wrapText="1"/>
    </xf>
    <xf numFmtId="0" fontId="7" fillId="7" borderId="1" xfId="11" applyFill="1" applyBorder="1" applyAlignment="1">
      <alignment vertical="center" wrapText="1"/>
    </xf>
    <xf numFmtId="0" fontId="13" fillId="0" borderId="1" xfId="3" applyFont="1" applyBorder="1" applyAlignment="1">
      <alignment horizontal="left"/>
    </xf>
    <xf numFmtId="0" fontId="13" fillId="4" borderId="1" xfId="3" applyFont="1" applyFill="1" applyBorder="1" applyAlignment="1">
      <alignment horizontal="center"/>
    </xf>
    <xf numFmtId="0" fontId="13" fillId="7" borderId="1" xfId="3" applyFont="1" applyFill="1" applyBorder="1" applyAlignment="1">
      <alignment horizontal="left"/>
    </xf>
    <xf numFmtId="3" fontId="12" fillId="0" borderId="1" xfId="3" applyNumberFormat="1" applyFont="1" applyBorder="1" applyAlignment="1">
      <alignment horizontal="right" vertical="center"/>
    </xf>
    <xf numFmtId="0" fontId="12" fillId="4" borderId="1" xfId="3" applyFont="1" applyFill="1" applyBorder="1" applyAlignment="1">
      <alignment horizontal="center" vertical="center"/>
    </xf>
    <xf numFmtId="0" fontId="12" fillId="4" borderId="1" xfId="3" applyFont="1" applyFill="1" applyBorder="1" applyAlignment="1">
      <alignment horizontal="left"/>
    </xf>
    <xf numFmtId="3" fontId="12" fillId="4" borderId="1" xfId="3" applyNumberFormat="1" applyFont="1" applyFill="1" applyBorder="1" applyAlignment="1">
      <alignment horizontal="right" vertical="center"/>
    </xf>
    <xf numFmtId="0" fontId="21" fillId="4" borderId="1" xfId="3" applyFont="1" applyFill="1" applyBorder="1" applyAlignment="1">
      <alignment horizontal="center" vertical="center"/>
    </xf>
    <xf numFmtId="3" fontId="21" fillId="4" borderId="1" xfId="3" applyNumberFormat="1" applyFont="1" applyFill="1" applyBorder="1" applyAlignment="1">
      <alignment horizontal="right" vertical="center"/>
    </xf>
    <xf numFmtId="0" fontId="21" fillId="4" borderId="1" xfId="3" applyFont="1" applyFill="1" applyBorder="1" applyAlignment="1">
      <alignment horizontal="center"/>
    </xf>
    <xf numFmtId="0" fontId="12" fillId="4" borderId="1" xfId="3" applyFont="1" applyFill="1" applyBorder="1" applyAlignment="1">
      <alignment horizontal="center"/>
    </xf>
    <xf numFmtId="0" fontId="13" fillId="7" borderId="9" xfId="6" applyFont="1" applyFill="1" applyBorder="1" applyAlignment="1">
      <alignment horizontal="center" vertical="center" wrapText="1"/>
    </xf>
    <xf numFmtId="0" fontId="13" fillId="7" borderId="2" xfId="6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7" fillId="0" borderId="17" xfId="5" applyFont="1" applyBorder="1"/>
    <xf numFmtId="0" fontId="11" fillId="7" borderId="1" xfId="9" applyFont="1" applyFill="1" applyBorder="1" applyAlignment="1">
      <alignment horizontal="center" vertical="center" wrapText="1"/>
    </xf>
    <xf numFmtId="3" fontId="7" fillId="5" borderId="1" xfId="5" applyNumberFormat="1" applyFont="1" applyFill="1" applyBorder="1"/>
    <xf numFmtId="0" fontId="9" fillId="4" borderId="2" xfId="11" applyFont="1" applyFill="1" applyBorder="1" applyAlignment="1">
      <alignment vertical="center" wrapText="1"/>
    </xf>
    <xf numFmtId="3" fontId="9" fillId="4" borderId="1" xfId="11" applyNumberFormat="1" applyFont="1" applyFill="1" applyBorder="1" applyAlignment="1">
      <alignment vertical="center" wrapText="1"/>
    </xf>
    <xf numFmtId="3" fontId="7" fillId="4" borderId="2" xfId="11" applyNumberFormat="1" applyFont="1" applyFill="1" applyBorder="1" applyAlignment="1">
      <alignment vertical="center" wrapText="1"/>
    </xf>
    <xf numFmtId="3" fontId="10" fillId="0" borderId="0" xfId="6" applyNumberFormat="1"/>
    <xf numFmtId="0" fontId="44" fillId="7" borderId="1" xfId="12" applyFont="1" applyFill="1" applyBorder="1" applyAlignment="1">
      <alignment horizontal="center" vertical="center" wrapText="1"/>
    </xf>
    <xf numFmtId="3" fontId="13" fillId="0" borderId="37" xfId="4" applyNumberFormat="1" applyFont="1" applyFill="1" applyBorder="1"/>
    <xf numFmtId="3" fontId="21" fillId="0" borderId="37" xfId="1" applyNumberFormat="1" applyFont="1" applyFill="1" applyBorder="1" applyAlignment="1">
      <alignment vertical="center"/>
    </xf>
    <xf numFmtId="3" fontId="13" fillId="0" borderId="37" xfId="1" applyNumberFormat="1" applyFont="1" applyFill="1" applyBorder="1" applyAlignment="1">
      <alignment vertical="center"/>
    </xf>
    <xf numFmtId="3" fontId="13" fillId="5" borderId="37" xfId="4" applyNumberFormat="1" applyFont="1" applyFill="1" applyBorder="1"/>
    <xf numFmtId="3" fontId="21" fillId="0" borderId="37" xfId="4" applyNumberFormat="1" applyFont="1" applyFill="1" applyBorder="1"/>
    <xf numFmtId="3" fontId="21" fillId="0" borderId="38" xfId="4" applyNumberFormat="1" applyFont="1" applyFill="1" applyBorder="1"/>
    <xf numFmtId="3" fontId="21" fillId="0" borderId="39" xfId="4" applyNumberFormat="1" applyFont="1" applyFill="1" applyBorder="1"/>
    <xf numFmtId="3" fontId="13" fillId="5" borderId="35" xfId="4" applyNumberFormat="1" applyFont="1" applyFill="1" applyBorder="1"/>
    <xf numFmtId="3" fontId="12" fillId="0" borderId="37" xfId="1" applyNumberFormat="1" applyFont="1" applyFill="1" applyBorder="1" applyAlignment="1">
      <alignment vertical="center"/>
    </xf>
    <xf numFmtId="3" fontId="12" fillId="0" borderId="38" xfId="1" applyNumberFormat="1" applyFont="1" applyFill="1" applyBorder="1" applyAlignment="1">
      <alignment vertical="center"/>
    </xf>
    <xf numFmtId="3" fontId="12" fillId="0" borderId="35" xfId="1" applyNumberFormat="1" applyFont="1" applyFill="1" applyBorder="1" applyAlignment="1">
      <alignment vertical="center"/>
    </xf>
    <xf numFmtId="3" fontId="12" fillId="0" borderId="35" xfId="4" applyNumberFormat="1" applyFont="1" applyFill="1" applyBorder="1"/>
    <xf numFmtId="3" fontId="13" fillId="5" borderId="35" xfId="1" applyNumberFormat="1" applyFont="1" applyFill="1" applyBorder="1" applyAlignment="1">
      <alignment vertical="center"/>
    </xf>
    <xf numFmtId="3" fontId="12" fillId="4" borderId="35" xfId="1" applyNumberFormat="1" applyFont="1" applyFill="1" applyBorder="1" applyAlignment="1">
      <alignment vertical="center"/>
    </xf>
    <xf numFmtId="3" fontId="13" fillId="5" borderId="35" xfId="1" applyNumberFormat="1" applyFont="1" applyFill="1" applyBorder="1" applyAlignment="1">
      <alignment horizontal="right" vertical="center"/>
    </xf>
    <xf numFmtId="3" fontId="12" fillId="4" borderId="35" xfId="1" applyNumberFormat="1" applyFont="1" applyFill="1" applyBorder="1" applyAlignment="1">
      <alignment horizontal="right" vertical="center"/>
    </xf>
    <xf numFmtId="3" fontId="13" fillId="7" borderId="35" xfId="1" applyNumberFormat="1" applyFont="1" applyFill="1" applyBorder="1" applyAlignment="1">
      <alignment horizontal="right" vertical="center"/>
    </xf>
    <xf numFmtId="3" fontId="13" fillId="5" borderId="35" xfId="4" applyNumberFormat="1" applyFont="1" applyFill="1" applyBorder="1" applyAlignment="1">
      <alignment horizontal="right"/>
    </xf>
    <xf numFmtId="3" fontId="13" fillId="7" borderId="35" xfId="10" applyNumberFormat="1" applyFont="1" applyFill="1" applyBorder="1" applyAlignment="1">
      <alignment horizontal="right"/>
    </xf>
    <xf numFmtId="3" fontId="12" fillId="4" borderId="35" xfId="6" applyNumberFormat="1" applyFont="1" applyFill="1" applyBorder="1" applyAlignment="1">
      <alignment horizontal="right" vertical="center"/>
    </xf>
    <xf numFmtId="3" fontId="21" fillId="0" borderId="35" xfId="0" applyNumberFormat="1" applyFont="1" applyBorder="1"/>
    <xf numFmtId="3" fontId="13" fillId="7" borderId="35" xfId="0" applyNumberFormat="1" applyFont="1" applyFill="1" applyBorder="1"/>
    <xf numFmtId="0" fontId="21" fillId="0" borderId="33" xfId="0" applyFont="1" applyBorder="1"/>
    <xf numFmtId="0" fontId="13" fillId="5" borderId="19" xfId="4" applyFont="1" applyFill="1" applyBorder="1" applyAlignment="1">
      <alignment horizontal="center" vertical="center" wrapText="1"/>
    </xf>
    <xf numFmtId="0" fontId="13" fillId="5" borderId="25" xfId="4" applyFont="1" applyFill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/>
    </xf>
    <xf numFmtId="0" fontId="13" fillId="5" borderId="35" xfId="4" applyFont="1" applyFill="1" applyBorder="1" applyAlignment="1">
      <alignment horizontal="center" vertical="center"/>
    </xf>
    <xf numFmtId="0" fontId="13" fillId="5" borderId="33" xfId="0" applyFont="1" applyFill="1" applyBorder="1" applyAlignment="1">
      <alignment horizontal="center"/>
    </xf>
    <xf numFmtId="3" fontId="21" fillId="0" borderId="33" xfId="0" applyNumberFormat="1" applyFont="1" applyBorder="1"/>
    <xf numFmtId="3" fontId="21" fillId="5" borderId="33" xfId="0" applyNumberFormat="1" applyFont="1" applyFill="1" applyBorder="1"/>
    <xf numFmtId="3" fontId="21" fillId="7" borderId="33" xfId="0" applyNumberFormat="1" applyFont="1" applyFill="1" applyBorder="1"/>
    <xf numFmtId="3" fontId="12" fillId="0" borderId="9" xfId="10" applyNumberFormat="1" applyFont="1" applyBorder="1"/>
    <xf numFmtId="3" fontId="12" fillId="0" borderId="1" xfId="10" applyNumberFormat="1" applyFont="1" applyBorder="1"/>
    <xf numFmtId="3" fontId="13" fillId="5" borderId="1" xfId="10" applyNumberFormat="1" applyFont="1" applyFill="1" applyBorder="1"/>
    <xf numFmtId="3" fontId="12" fillId="4" borderId="1" xfId="10" applyNumberFormat="1" applyFont="1" applyFill="1" applyBorder="1"/>
    <xf numFmtId="3" fontId="13" fillId="5" borderId="1" xfId="1" applyNumberFormat="1" applyFont="1" applyFill="1" applyBorder="1" applyAlignment="1">
      <alignment horizontal="left" vertical="center"/>
    </xf>
    <xf numFmtId="0" fontId="15" fillId="0" borderId="0" xfId="14" applyFont="1" applyAlignment="1">
      <alignment horizontal="center"/>
    </xf>
    <xf numFmtId="0" fontId="11" fillId="0" borderId="0" xfId="14" applyFont="1" applyAlignment="1">
      <alignment horizontal="center"/>
    </xf>
    <xf numFmtId="0" fontId="10" fillId="0" borderId="0" xfId="14"/>
    <xf numFmtId="0" fontId="17" fillId="0" borderId="0" xfId="14" applyFont="1" applyBorder="1" applyAlignment="1">
      <alignment horizontal="center"/>
    </xf>
    <xf numFmtId="0" fontId="7" fillId="0" borderId="0" xfId="14" applyFont="1" applyAlignment="1"/>
    <xf numFmtId="0" fontId="7" fillId="0" borderId="0" xfId="14" applyFont="1"/>
    <xf numFmtId="14" fontId="9" fillId="7" borderId="33" xfId="15" applyNumberFormat="1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/>
    </xf>
    <xf numFmtId="14" fontId="9" fillId="0" borderId="33" xfId="15" applyNumberFormat="1" applyFont="1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14" fontId="9" fillId="5" borderId="33" xfId="15" applyNumberFormat="1" applyFont="1" applyFill="1" applyBorder="1" applyAlignment="1">
      <alignment vertical="center"/>
    </xf>
    <xf numFmtId="0" fontId="5" fillId="5" borderId="33" xfId="0" applyFont="1" applyFill="1" applyBorder="1" applyAlignment="1">
      <alignment vertical="center"/>
    </xf>
    <xf numFmtId="0" fontId="10" fillId="0" borderId="0" xfId="14" applyFill="1"/>
    <xf numFmtId="0" fontId="16" fillId="0" borderId="33" xfId="14" applyFont="1" applyBorder="1" applyAlignment="1">
      <alignment horizontal="center" vertical="center"/>
    </xf>
    <xf numFmtId="0" fontId="7" fillId="0" borderId="33" xfId="0" applyFont="1" applyBorder="1" applyAlignment="1">
      <alignment horizontal="left" vertical="center" wrapText="1"/>
    </xf>
    <xf numFmtId="3" fontId="7" fillId="0" borderId="33" xfId="14" applyNumberFormat="1" applyFont="1" applyBorder="1" applyAlignment="1">
      <alignment vertical="center"/>
    </xf>
    <xf numFmtId="0" fontId="16" fillId="0" borderId="33" xfId="14" applyFont="1" applyBorder="1" applyAlignment="1">
      <alignment vertical="center"/>
    </xf>
    <xf numFmtId="3" fontId="9" fillId="7" borderId="33" xfId="14" applyNumberFormat="1" applyFont="1" applyFill="1" applyBorder="1" applyAlignment="1">
      <alignment vertical="center"/>
    </xf>
    <xf numFmtId="0" fontId="9" fillId="0" borderId="33" xfId="0" applyFont="1" applyBorder="1" applyAlignment="1">
      <alignment horizontal="left" vertical="center" wrapText="1"/>
    </xf>
    <xf numFmtId="3" fontId="9" fillId="0" borderId="33" xfId="14" applyNumberFormat="1" applyFont="1" applyBorder="1" applyAlignment="1">
      <alignment vertical="center"/>
    </xf>
    <xf numFmtId="0" fontId="11" fillId="0" borderId="0" xfId="14" applyFont="1"/>
    <xf numFmtId="0" fontId="7" fillId="0" borderId="3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3" xfId="0" applyFont="1" applyBorder="1" applyAlignment="1">
      <alignment horizontal="left" vertical="center"/>
    </xf>
    <xf numFmtId="0" fontId="9" fillId="7" borderId="33" xfId="0" applyFont="1" applyFill="1" applyBorder="1" applyAlignment="1">
      <alignment horizontal="center" vertical="center" wrapText="1"/>
    </xf>
    <xf numFmtId="0" fontId="7" fillId="0" borderId="33" xfId="14" applyFont="1" applyBorder="1" applyAlignment="1">
      <alignment vertical="center"/>
    </xf>
    <xf numFmtId="0" fontId="9" fillId="0" borderId="33" xfId="0" applyFont="1" applyBorder="1" applyAlignment="1">
      <alignment horizontal="left" vertical="center"/>
    </xf>
    <xf numFmtId="3" fontId="9" fillId="7" borderId="35" xfId="14" applyNumberFormat="1" applyFont="1" applyFill="1" applyBorder="1" applyAlignment="1">
      <alignment vertical="center"/>
    </xf>
    <xf numFmtId="3" fontId="9" fillId="7" borderId="33" xfId="14" applyNumberFormat="1" applyFont="1" applyFill="1" applyBorder="1" applyAlignment="1">
      <alignment horizontal="center" vertical="center"/>
    </xf>
    <xf numFmtId="0" fontId="10" fillId="0" borderId="0" xfId="14" applyFont="1"/>
    <xf numFmtId="0" fontId="45" fillId="0" borderId="0" xfId="14" applyFont="1"/>
    <xf numFmtId="0" fontId="16" fillId="0" borderId="0" xfId="14" applyFont="1" applyBorder="1" applyAlignment="1">
      <alignment horizontal="right"/>
    </xf>
    <xf numFmtId="14" fontId="13" fillId="5" borderId="33" xfId="15" applyNumberFormat="1" applyFont="1" applyFill="1" applyBorder="1" applyAlignment="1">
      <alignment horizontal="center" vertical="center" wrapText="1"/>
    </xf>
    <xf numFmtId="0" fontId="31" fillId="5" borderId="33" xfId="0" applyFont="1" applyFill="1" applyBorder="1" applyAlignment="1">
      <alignment horizontal="center" vertical="center" wrapText="1"/>
    </xf>
    <xf numFmtId="0" fontId="16" fillId="0" borderId="42" xfId="14" applyFont="1" applyBorder="1" applyAlignment="1">
      <alignment horizontal="center" vertical="center" wrapText="1"/>
    </xf>
    <xf numFmtId="0" fontId="16" fillId="0" borderId="33" xfId="14" applyFont="1" applyBorder="1" applyAlignment="1">
      <alignment horizontal="center" vertical="center" wrapText="1"/>
    </xf>
    <xf numFmtId="0" fontId="10" fillId="0" borderId="33" xfId="0" applyFont="1" applyBorder="1" applyAlignment="1">
      <alignment horizontal="left" vertical="center" wrapText="1"/>
    </xf>
    <xf numFmtId="3" fontId="18" fillId="0" borderId="33" xfId="14" applyNumberFormat="1" applyFont="1" applyBorder="1" applyAlignment="1">
      <alignment vertical="center" wrapText="1"/>
    </xf>
    <xf numFmtId="3" fontId="12" fillId="0" borderId="33" xfId="14" applyNumberFormat="1" applyFont="1" applyBorder="1" applyAlignment="1">
      <alignment vertical="center" wrapText="1"/>
    </xf>
    <xf numFmtId="3" fontId="12" fillId="4" borderId="33" xfId="14" applyNumberFormat="1" applyFont="1" applyFill="1" applyBorder="1" applyAlignment="1">
      <alignment vertical="center" wrapText="1"/>
    </xf>
    <xf numFmtId="3" fontId="12" fillId="5" borderId="33" xfId="14" applyNumberFormat="1" applyFont="1" applyFill="1" applyBorder="1" applyAlignment="1">
      <alignment vertical="center" wrapText="1"/>
    </xf>
    <xf numFmtId="0" fontId="16" fillId="0" borderId="3" xfId="14" applyFont="1" applyBorder="1" applyAlignment="1">
      <alignment horizontal="center" vertical="center" wrapText="1"/>
    </xf>
    <xf numFmtId="0" fontId="17" fillId="0" borderId="33" xfId="14" applyFont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center" wrapText="1"/>
    </xf>
    <xf numFmtId="3" fontId="13" fillId="0" borderId="33" xfId="14" applyNumberFormat="1" applyFont="1" applyBorder="1" applyAlignment="1">
      <alignment vertical="center" wrapText="1"/>
    </xf>
    <xf numFmtId="3" fontId="13" fillId="4" borderId="33" xfId="14" applyNumberFormat="1" applyFont="1" applyFill="1" applyBorder="1" applyAlignment="1">
      <alignment vertical="center" wrapText="1"/>
    </xf>
    <xf numFmtId="3" fontId="13" fillId="5" borderId="33" xfId="14" applyNumberFormat="1" applyFont="1" applyFill="1" applyBorder="1" applyAlignment="1">
      <alignment vertical="center" wrapText="1"/>
    </xf>
    <xf numFmtId="0" fontId="11" fillId="5" borderId="3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3" fontId="3" fillId="0" borderId="13" xfId="0" applyNumberFormat="1" applyFont="1" applyBorder="1" applyAlignment="1">
      <alignment horizontal="right" vertical="center"/>
    </xf>
    <xf numFmtId="3" fontId="7" fillId="0" borderId="33" xfId="15" applyNumberFormat="1" applyFont="1" applyBorder="1" applyAlignment="1">
      <alignment vertical="center"/>
    </xf>
    <xf numFmtId="3" fontId="7" fillId="5" borderId="33" xfId="15" applyNumberFormat="1" applyFont="1" applyFill="1" applyBorder="1" applyAlignment="1">
      <alignment vertical="center"/>
    </xf>
    <xf numFmtId="3" fontId="3" fillId="0" borderId="33" xfId="0" applyNumberFormat="1" applyFont="1" applyBorder="1" applyAlignment="1">
      <alignment horizontal="right" vertical="center"/>
    </xf>
    <xf numFmtId="0" fontId="32" fillId="0" borderId="33" xfId="0" applyFont="1" applyBorder="1" applyAlignment="1">
      <alignment vertical="center"/>
    </xf>
    <xf numFmtId="3" fontId="32" fillId="0" borderId="33" xfId="0" applyNumberFormat="1" applyFont="1" applyBorder="1" applyAlignment="1">
      <alignment vertical="center"/>
    </xf>
    <xf numFmtId="3" fontId="9" fillId="5" borderId="33" xfId="15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0" borderId="33" xfId="0" applyFont="1" applyBorder="1" applyAlignment="1">
      <alignment vertical="center"/>
    </xf>
    <xf numFmtId="3" fontId="6" fillId="0" borderId="33" xfId="0" applyNumberFormat="1" applyFont="1" applyBorder="1" applyAlignment="1">
      <alignment vertical="center"/>
    </xf>
    <xf numFmtId="0" fontId="6" fillId="0" borderId="33" xfId="0" applyFont="1" applyFill="1" applyBorder="1" applyAlignment="1">
      <alignment vertical="center"/>
    </xf>
    <xf numFmtId="0" fontId="32" fillId="0" borderId="33" xfId="0" applyFont="1" applyFill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3" fontId="6" fillId="4" borderId="33" xfId="0" applyNumberFormat="1" applyFont="1" applyFill="1" applyBorder="1" applyAlignment="1">
      <alignment vertical="center"/>
    </xf>
    <xf numFmtId="0" fontId="32" fillId="0" borderId="33" xfId="0" applyFont="1" applyBorder="1" applyAlignment="1">
      <alignment vertical="center" wrapText="1"/>
    </xf>
    <xf numFmtId="3" fontId="49" fillId="0" borderId="33" xfId="0" applyNumberFormat="1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3" xfId="0" applyFont="1" applyBorder="1" applyAlignment="1">
      <alignment vertical="center" wrapText="1"/>
    </xf>
    <xf numFmtId="49" fontId="6" fillId="0" borderId="33" xfId="0" applyNumberFormat="1" applyFont="1" applyBorder="1" applyAlignment="1">
      <alignment horizontal="right" vertical="center"/>
    </xf>
    <xf numFmtId="0" fontId="6" fillId="0" borderId="33" xfId="0" applyFont="1" applyBorder="1" applyAlignment="1">
      <alignment vertical="center" wrapText="1"/>
    </xf>
    <xf numFmtId="0" fontId="49" fillId="0" borderId="33" xfId="0" applyFont="1" applyBorder="1" applyAlignment="1">
      <alignment vertical="center"/>
    </xf>
    <xf numFmtId="16" fontId="49" fillId="0" borderId="33" xfId="0" applyNumberFormat="1" applyFont="1" applyBorder="1" applyAlignment="1">
      <alignment vertical="distributed"/>
    </xf>
    <xf numFmtId="0" fontId="6" fillId="0" borderId="33" xfId="0" applyFont="1" applyBorder="1" applyAlignment="1">
      <alignment vertical="distributed"/>
    </xf>
    <xf numFmtId="0" fontId="50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3" fontId="3" fillId="0" borderId="0" xfId="0" applyNumberFormat="1" applyFont="1" applyBorder="1" applyAlignment="1">
      <alignment vertical="center"/>
    </xf>
    <xf numFmtId="3" fontId="50" fillId="0" borderId="0" xfId="0" applyNumberFormat="1" applyFont="1" applyBorder="1" applyAlignment="1">
      <alignment vertical="center"/>
    </xf>
    <xf numFmtId="0" fontId="51" fillId="0" borderId="0" xfId="0" applyFont="1" applyBorder="1"/>
    <xf numFmtId="0" fontId="50" fillId="0" borderId="0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50" fillId="0" borderId="0" xfId="0" applyFont="1" applyBorder="1"/>
    <xf numFmtId="0" fontId="51" fillId="0" borderId="0" xfId="0" applyFont="1"/>
    <xf numFmtId="3" fontId="50" fillId="0" borderId="0" xfId="0" applyNumberFormat="1" applyFont="1" applyBorder="1"/>
    <xf numFmtId="0" fontId="33" fillId="0" borderId="0" xfId="0" applyFont="1" applyBorder="1" applyAlignment="1">
      <alignment horizontal="left" vertical="center"/>
    </xf>
    <xf numFmtId="3" fontId="0" fillId="0" borderId="0" xfId="0" applyNumberFormat="1" applyBorder="1"/>
    <xf numFmtId="0" fontId="2" fillId="0" borderId="13" xfId="0" applyFont="1" applyBorder="1" applyAlignment="1">
      <alignment horizontal="left" vertical="center"/>
    </xf>
    <xf numFmtId="3" fontId="9" fillId="0" borderId="33" xfId="15" applyNumberFormat="1" applyFont="1" applyBorder="1" applyAlignment="1">
      <alignment vertical="center"/>
    </xf>
    <xf numFmtId="3" fontId="5" fillId="5" borderId="33" xfId="0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3" fontId="2" fillId="5" borderId="33" xfId="0" applyNumberFormat="1" applyFont="1" applyFill="1" applyBorder="1" applyAlignment="1">
      <alignment horizontal="right" vertical="center"/>
    </xf>
    <xf numFmtId="3" fontId="6" fillId="5" borderId="33" xfId="0" applyNumberFormat="1" applyFont="1" applyFill="1" applyBorder="1" applyAlignment="1">
      <alignment vertical="center"/>
    </xf>
    <xf numFmtId="16" fontId="6" fillId="0" borderId="33" xfId="0" applyNumberFormat="1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3" fontId="32" fillId="5" borderId="33" xfId="0" applyNumberFormat="1" applyFont="1" applyFill="1" applyBorder="1" applyAlignment="1">
      <alignment horizontal="right" vertical="center"/>
    </xf>
    <xf numFmtId="0" fontId="47" fillId="0" borderId="0" xfId="34"/>
    <xf numFmtId="0" fontId="52" fillId="0" borderId="0" xfId="34" applyFont="1" applyAlignment="1">
      <alignment horizontal="center"/>
    </xf>
    <xf numFmtId="0" fontId="53" fillId="0" borderId="0" xfId="34" applyFont="1"/>
    <xf numFmtId="0" fontId="18" fillId="0" borderId="33" xfId="34" applyFont="1" applyBorder="1" applyAlignment="1">
      <alignment horizontal="center" vertical="center" wrapText="1"/>
    </xf>
    <xf numFmtId="3" fontId="19" fillId="0" borderId="33" xfId="34" applyNumberFormat="1" applyFont="1" applyBorder="1" applyAlignment="1">
      <alignment vertical="center" wrapText="1"/>
    </xf>
    <xf numFmtId="3" fontId="18" fillId="0" borderId="33" xfId="34" applyNumberFormat="1" applyFont="1" applyBorder="1" applyAlignment="1">
      <alignment vertical="center" wrapText="1"/>
    </xf>
    <xf numFmtId="3" fontId="18" fillId="0" borderId="33" xfId="34" applyNumberFormat="1" applyFont="1" applyBorder="1" applyAlignment="1">
      <alignment horizontal="right" vertical="center" wrapText="1"/>
    </xf>
    <xf numFmtId="0" fontId="19" fillId="5" borderId="33" xfId="34" applyFont="1" applyFill="1" applyBorder="1" applyAlignment="1">
      <alignment horizontal="center" vertical="center" wrapText="1"/>
    </xf>
    <xf numFmtId="3" fontId="19" fillId="5" borderId="33" xfId="34" applyNumberFormat="1" applyFont="1" applyFill="1" applyBorder="1" applyAlignment="1">
      <alignment vertical="center" wrapText="1"/>
    </xf>
    <xf numFmtId="0" fontId="19" fillId="7" borderId="33" xfId="34" applyFont="1" applyFill="1" applyBorder="1" applyAlignment="1">
      <alignment horizontal="center" vertical="center" wrapText="1"/>
    </xf>
    <xf numFmtId="3" fontId="19" fillId="7" borderId="33" xfId="34" applyNumberFormat="1" applyFont="1" applyFill="1" applyBorder="1" applyAlignment="1">
      <alignment vertical="center" wrapText="1"/>
    </xf>
    <xf numFmtId="0" fontId="10" fillId="0" borderId="0" xfId="32"/>
    <xf numFmtId="0" fontId="11" fillId="0" borderId="0" xfId="32" applyFont="1" applyAlignment="1">
      <alignment horizontal="center"/>
    </xf>
    <xf numFmtId="0" fontId="11" fillId="5" borderId="33" xfId="32" applyFont="1" applyFill="1" applyBorder="1" applyAlignment="1">
      <alignment horizontal="center" vertical="center"/>
    </xf>
    <xf numFmtId="0" fontId="11" fillId="5" borderId="33" xfId="32" applyFont="1" applyFill="1" applyBorder="1" applyAlignment="1">
      <alignment horizontal="center" vertical="center" wrapText="1"/>
    </xf>
    <xf numFmtId="3" fontId="10" fillId="0" borderId="33" xfId="32" applyNumberFormat="1" applyBorder="1" applyAlignment="1">
      <alignment vertical="center"/>
    </xf>
    <xf numFmtId="3" fontId="11" fillId="0" borderId="33" xfId="32" applyNumberFormat="1" applyFont="1" applyBorder="1" applyAlignment="1">
      <alignment vertical="center"/>
    </xf>
    <xf numFmtId="3" fontId="10" fillId="0" borderId="33" xfId="32" applyNumberFormat="1" applyFont="1" applyBorder="1" applyAlignment="1">
      <alignment vertical="center"/>
    </xf>
    <xf numFmtId="3" fontId="11" fillId="5" borderId="33" xfId="32" applyNumberFormat="1" applyFont="1" applyFill="1" applyBorder="1" applyAlignment="1">
      <alignment vertical="center"/>
    </xf>
    <xf numFmtId="0" fontId="10" fillId="0" borderId="0" xfId="32" applyFont="1"/>
    <xf numFmtId="0" fontId="5" fillId="7" borderId="33" xfId="0" applyFont="1" applyFill="1" applyBorder="1" applyAlignment="1">
      <alignment horizontal="center" vertical="distributed"/>
    </xf>
    <xf numFmtId="0" fontId="6" fillId="0" borderId="33" xfId="0" applyFont="1" applyBorder="1" applyAlignment="1">
      <alignment horizontal="center"/>
    </xf>
    <xf numFmtId="3" fontId="6" fillId="0" borderId="33" xfId="0" applyNumberFormat="1" applyFont="1" applyBorder="1"/>
    <xf numFmtId="165" fontId="6" fillId="0" borderId="33" xfId="0" applyNumberFormat="1" applyFont="1" applyBorder="1"/>
    <xf numFmtId="164" fontId="6" fillId="0" borderId="33" xfId="0" applyNumberFormat="1" applyFont="1" applyBorder="1"/>
    <xf numFmtId="165" fontId="6" fillId="0" borderId="33" xfId="0" applyNumberFormat="1" applyFont="1" applyBorder="1" applyAlignment="1">
      <alignment horizontal="right"/>
    </xf>
    <xf numFmtId="0" fontId="6" fillId="7" borderId="33" xfId="0" applyFont="1" applyFill="1" applyBorder="1" applyAlignment="1">
      <alignment horizontal="center"/>
    </xf>
    <xf numFmtId="0" fontId="5" fillId="7" borderId="33" xfId="0" applyFont="1" applyFill="1" applyBorder="1" applyAlignment="1">
      <alignment vertical="center" wrapText="1"/>
    </xf>
    <xf numFmtId="3" fontId="5" fillId="7" borderId="33" xfId="0" applyNumberFormat="1" applyFont="1" applyFill="1" applyBorder="1"/>
    <xf numFmtId="165" fontId="5" fillId="7" borderId="33" xfId="0" applyNumberFormat="1" applyFont="1" applyFill="1" applyBorder="1"/>
    <xf numFmtId="0" fontId="6" fillId="0" borderId="0" xfId="0" applyFont="1"/>
    <xf numFmtId="0" fontId="0" fillId="0" borderId="0" xfId="0"/>
    <xf numFmtId="0" fontId="10" fillId="0" borderId="0" xfId="24"/>
    <xf numFmtId="0" fontId="10" fillId="0" borderId="25" xfId="24" applyBorder="1" applyAlignment="1">
      <alignment horizontal="center"/>
    </xf>
    <xf numFmtId="0" fontId="10" fillId="0" borderId="2" xfId="24" applyFont="1" applyBorder="1" applyAlignment="1">
      <alignment wrapText="1"/>
    </xf>
    <xf numFmtId="3" fontId="10" fillId="0" borderId="0" xfId="24" applyNumberFormat="1"/>
    <xf numFmtId="0" fontId="10" fillId="0" borderId="0" xfId="31"/>
    <xf numFmtId="0" fontId="10" fillId="0" borderId="25" xfId="31" applyBorder="1" applyAlignment="1">
      <alignment horizontal="center"/>
    </xf>
    <xf numFmtId="0" fontId="10" fillId="0" borderId="0" xfId="31" applyBorder="1"/>
    <xf numFmtId="0" fontId="11" fillId="0" borderId="0" xfId="31" applyFont="1" applyBorder="1"/>
    <xf numFmtId="3" fontId="11" fillId="0" borderId="0" xfId="31" applyNumberFormat="1" applyFont="1" applyBorder="1"/>
    <xf numFmtId="0" fontId="11" fillId="0" borderId="0" xfId="31" applyFont="1" applyFill="1" applyBorder="1"/>
    <xf numFmtId="3" fontId="10" fillId="0" borderId="0" xfId="31" applyNumberFormat="1" applyBorder="1"/>
    <xf numFmtId="3" fontId="10" fillId="0" borderId="0" xfId="31" applyNumberFormat="1"/>
    <xf numFmtId="3" fontId="12" fillId="3" borderId="1" xfId="6" applyNumberFormat="1" applyFont="1" applyFill="1" applyBorder="1" applyAlignment="1">
      <alignment horizontal="right" vertical="center"/>
    </xf>
    <xf numFmtId="3" fontId="7" fillId="0" borderId="1" xfId="8" applyNumberFormat="1" applyFont="1" applyBorder="1" applyAlignment="1">
      <alignment vertical="center"/>
    </xf>
    <xf numFmtId="3" fontId="7" fillId="0" borderId="1" xfId="8" applyNumberFormat="1" applyFont="1" applyFill="1" applyBorder="1" applyAlignment="1">
      <alignment vertical="center"/>
    </xf>
    <xf numFmtId="3" fontId="7" fillId="4" borderId="1" xfId="8" applyNumberFormat="1" applyFont="1" applyFill="1" applyBorder="1" applyAlignment="1">
      <alignment vertical="center"/>
    </xf>
    <xf numFmtId="3" fontId="9" fillId="5" borderId="1" xfId="8" applyNumberFormat="1" applyFont="1" applyFill="1" applyBorder="1"/>
    <xf numFmtId="3" fontId="12" fillId="0" borderId="1" xfId="8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3" fontId="7" fillId="0" borderId="1" xfId="14" applyNumberFormat="1" applyFont="1" applyBorder="1" applyAlignment="1">
      <alignment vertical="center"/>
    </xf>
    <xf numFmtId="3" fontId="9" fillId="7" borderId="1" xfId="14" applyNumberFormat="1" applyFont="1" applyFill="1" applyBorder="1" applyAlignment="1">
      <alignment vertical="center"/>
    </xf>
    <xf numFmtId="0" fontId="9" fillId="7" borderId="3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16" fillId="0" borderId="1" xfId="14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3" fontId="12" fillId="0" borderId="1" xfId="14" applyNumberFormat="1" applyFont="1" applyBorder="1" applyAlignment="1">
      <alignment vertical="center" wrapText="1"/>
    </xf>
    <xf numFmtId="3" fontId="12" fillId="4" borderId="1" xfId="14" applyNumberFormat="1" applyFont="1" applyFill="1" applyBorder="1" applyAlignment="1">
      <alignment vertical="center" wrapText="1"/>
    </xf>
    <xf numFmtId="3" fontId="12" fillId="5" borderId="1" xfId="14" applyNumberFormat="1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vertical="center"/>
    </xf>
    <xf numFmtId="3" fontId="9" fillId="5" borderId="1" xfId="0" applyNumberFormat="1" applyFont="1" applyFill="1" applyBorder="1" applyAlignment="1">
      <alignment horizontal="right" vertical="center"/>
    </xf>
    <xf numFmtId="0" fontId="7" fillId="0" borderId="33" xfId="0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5" borderId="33" xfId="0" applyNumberFormat="1" applyFont="1" applyFill="1" applyBorder="1" applyAlignment="1">
      <alignment vertical="center"/>
    </xf>
    <xf numFmtId="0" fontId="16" fillId="0" borderId="13" xfId="35" applyFont="1" applyBorder="1" applyAlignment="1">
      <alignment horizontal="left" vertical="center" wrapText="1"/>
    </xf>
    <xf numFmtId="3" fontId="54" fillId="3" borderId="1" xfId="35" applyNumberFormat="1" applyFont="1" applyFill="1" applyBorder="1" applyAlignment="1">
      <alignment horizontal="right" vertical="center" wrapText="1"/>
    </xf>
    <xf numFmtId="3" fontId="54" fillId="0" borderId="1" xfId="35" applyNumberFormat="1" applyFont="1" applyBorder="1" applyAlignment="1">
      <alignment horizontal="right" vertical="center" wrapText="1"/>
    </xf>
    <xf numFmtId="3" fontId="7" fillId="0" borderId="1" xfId="8" applyNumberFormat="1" applyFont="1" applyFill="1" applyBorder="1"/>
    <xf numFmtId="0" fontId="55" fillId="0" borderId="0" xfId="36" applyFont="1" applyBorder="1" applyAlignment="1">
      <alignment horizontal="left" vertical="center"/>
    </xf>
    <xf numFmtId="0" fontId="56" fillId="0" borderId="0" xfId="36" applyFont="1" applyAlignment="1">
      <alignment horizontal="left" vertical="center"/>
    </xf>
    <xf numFmtId="0" fontId="57" fillId="0" borderId="0" xfId="36" applyFont="1" applyBorder="1" applyAlignment="1">
      <alignment horizontal="left" vertical="center"/>
    </xf>
    <xf numFmtId="0" fontId="50" fillId="0" borderId="0" xfId="36" applyFont="1"/>
    <xf numFmtId="0" fontId="58" fillId="0" borderId="0" xfId="36" applyFont="1" applyAlignment="1">
      <alignment horizontal="right" vertical="center"/>
    </xf>
    <xf numFmtId="0" fontId="56" fillId="0" borderId="0" xfId="36" applyFont="1"/>
    <xf numFmtId="0" fontId="58" fillId="0" borderId="0" xfId="36" applyFont="1" applyBorder="1" applyAlignment="1">
      <alignment horizontal="right" vertical="center"/>
    </xf>
    <xf numFmtId="49" fontId="50" fillId="0" borderId="0" xfId="36" applyNumberFormat="1" applyFont="1" applyBorder="1"/>
    <xf numFmtId="49" fontId="50" fillId="0" borderId="0" xfId="36" applyNumberFormat="1" applyFont="1"/>
    <xf numFmtId="0" fontId="50" fillId="0" borderId="59" xfId="36" applyFont="1" applyBorder="1"/>
    <xf numFmtId="0" fontId="7" fillId="0" borderId="33" xfId="0" applyFont="1" applyFill="1" applyBorder="1" applyAlignment="1">
      <alignment vertical="center" wrapText="1"/>
    </xf>
    <xf numFmtId="0" fontId="13" fillId="5" borderId="2" xfId="4" applyFont="1" applyFill="1" applyBorder="1" applyAlignment="1">
      <alignment horizontal="center" vertical="center" wrapText="1"/>
    </xf>
    <xf numFmtId="0" fontId="0" fillId="0" borderId="0" xfId="0"/>
    <xf numFmtId="3" fontId="47" fillId="0" borderId="0" xfId="34" applyNumberFormat="1"/>
    <xf numFmtId="0" fontId="10" fillId="0" borderId="33" xfId="32" applyBorder="1" applyAlignment="1">
      <alignment horizontal="center" vertical="center" wrapText="1"/>
    </xf>
    <xf numFmtId="0" fontId="10" fillId="0" borderId="33" xfId="32" applyBorder="1" applyAlignment="1">
      <alignment vertical="center" wrapText="1"/>
    </xf>
    <xf numFmtId="0" fontId="10" fillId="0" borderId="33" xfId="32" applyFont="1" applyBorder="1" applyAlignment="1">
      <alignment vertical="center" wrapText="1"/>
    </xf>
    <xf numFmtId="0" fontId="7" fillId="5" borderId="60" xfId="0" applyFont="1" applyFill="1" applyBorder="1" applyAlignment="1">
      <alignment horizontal="center" vertical="top" wrapText="1"/>
    </xf>
    <xf numFmtId="0" fontId="7" fillId="5" borderId="60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vertical="center" wrapText="1"/>
    </xf>
    <xf numFmtId="0" fontId="0" fillId="4" borderId="0" xfId="0" applyFill="1" applyAlignment="1"/>
    <xf numFmtId="0" fontId="7" fillId="4" borderId="0" xfId="0" applyFont="1" applyFill="1" applyAlignment="1">
      <alignment horizontal="center" vertical="top" wrapText="1"/>
    </xf>
    <xf numFmtId="0" fontId="0" fillId="4" borderId="0" xfId="0" applyFill="1"/>
    <xf numFmtId="0" fontId="10" fillId="0" borderId="60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left" vertical="center" wrapText="1"/>
    </xf>
    <xf numFmtId="3" fontId="10" fillId="0" borderId="60" xfId="0" applyNumberFormat="1" applyFont="1" applyBorder="1" applyAlignment="1">
      <alignment horizontal="right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left" vertical="center" wrapText="1"/>
    </xf>
    <xf numFmtId="3" fontId="11" fillId="0" borderId="60" xfId="0" applyNumberFormat="1" applyFont="1" applyBorder="1" applyAlignment="1">
      <alignment horizontal="right" vertical="center" wrapText="1"/>
    </xf>
    <xf numFmtId="0" fontId="10" fillId="0" borderId="0" xfId="24" applyAlignment="1">
      <alignment horizontal="center"/>
    </xf>
    <xf numFmtId="0" fontId="10" fillId="0" borderId="2" xfId="31" applyFont="1" applyBorder="1" applyAlignment="1">
      <alignment horizontal="center" vertical="center"/>
    </xf>
    <xf numFmtId="0" fontId="12" fillId="0" borderId="2" xfId="31" applyFont="1" applyBorder="1" applyAlignment="1">
      <alignment horizontal="center" vertical="center" wrapText="1"/>
    </xf>
    <xf numFmtId="0" fontId="10" fillId="0" borderId="0" xfId="31" applyAlignment="1">
      <alignment horizontal="center"/>
    </xf>
    <xf numFmtId="0" fontId="10" fillId="0" borderId="0" xfId="24" applyBorder="1" applyAlignment="1">
      <alignment horizontal="center" vertical="distributed"/>
    </xf>
    <xf numFmtId="0" fontId="10" fillId="0" borderId="0" xfId="24" applyFont="1" applyBorder="1" applyAlignment="1">
      <alignment horizontal="center" vertical="center" wrapText="1"/>
    </xf>
    <xf numFmtId="3" fontId="10" fillId="0" borderId="0" xfId="24" applyNumberFormat="1" applyFont="1" applyBorder="1" applyAlignment="1">
      <alignment horizontal="center" vertical="center"/>
    </xf>
    <xf numFmtId="0" fontId="10" fillId="0" borderId="0" xfId="24" applyFont="1" applyBorder="1" applyAlignment="1">
      <alignment wrapText="1"/>
    </xf>
    <xf numFmtId="0" fontId="10" fillId="0" borderId="0" xfId="24" applyFont="1" applyBorder="1"/>
    <xf numFmtId="0" fontId="10" fillId="0" borderId="0" xfId="24" applyBorder="1" applyAlignment="1">
      <alignment horizontal="right"/>
    </xf>
    <xf numFmtId="0" fontId="11" fillId="0" borderId="60" xfId="24" applyFont="1" applyBorder="1" applyAlignment="1">
      <alignment horizontal="center" vertical="distributed"/>
    </xf>
    <xf numFmtId="0" fontId="11" fillId="0" borderId="60" xfId="24" applyFont="1" applyBorder="1" applyAlignment="1">
      <alignment horizontal="left" vertical="distributed"/>
    </xf>
    <xf numFmtId="0" fontId="10" fillId="0" borderId="60" xfId="24" applyBorder="1"/>
    <xf numFmtId="0" fontId="10" fillId="0" borderId="0" xfId="24" applyBorder="1" applyAlignment="1">
      <alignment horizontal="center" vertical="center" wrapText="1"/>
    </xf>
    <xf numFmtId="0" fontId="10" fillId="0" borderId="60" xfId="24" applyFont="1" applyBorder="1"/>
    <xf numFmtId="0" fontId="10" fillId="0" borderId="60" xfId="24" applyFont="1" applyBorder="1" applyAlignment="1">
      <alignment wrapText="1"/>
    </xf>
    <xf numFmtId="0" fontId="11" fillId="0" borderId="0" xfId="24" applyFont="1" applyBorder="1" applyAlignment="1">
      <alignment wrapText="1"/>
    </xf>
    <xf numFmtId="0" fontId="11" fillId="0" borderId="0" xfId="24" applyFont="1" applyFill="1" applyBorder="1"/>
    <xf numFmtId="3" fontId="10" fillId="0" borderId="0" xfId="24" applyNumberFormat="1" applyBorder="1" applyAlignment="1">
      <alignment horizontal="center" vertical="center"/>
    </xf>
    <xf numFmtId="0" fontId="10" fillId="0" borderId="0" xfId="24" applyFont="1" applyFill="1" applyBorder="1"/>
    <xf numFmtId="0" fontId="11" fillId="0" borderId="60" xfId="24" applyFont="1" applyBorder="1" applyAlignment="1">
      <alignment wrapText="1"/>
    </xf>
    <xf numFmtId="0" fontId="11" fillId="0" borderId="60" xfId="24" applyFont="1" applyBorder="1"/>
    <xf numFmtId="0" fontId="10" fillId="0" borderId="60" xfId="24" applyBorder="1" applyAlignment="1">
      <alignment horizontal="center" vertical="distributed"/>
    </xf>
    <xf numFmtId="0" fontId="11" fillId="0" borderId="60" xfId="24" applyFont="1" applyBorder="1" applyAlignment="1">
      <alignment horizontal="center" vertical="center" wrapText="1"/>
    </xf>
    <xf numFmtId="3" fontId="11" fillId="0" borderId="60" xfId="24" applyNumberFormat="1" applyFont="1" applyBorder="1" applyAlignment="1">
      <alignment horizontal="center" vertical="center"/>
    </xf>
    <xf numFmtId="0" fontId="10" fillId="0" borderId="60" xfId="24" applyFont="1" applyBorder="1" applyAlignment="1">
      <alignment vertical="distributed"/>
    </xf>
    <xf numFmtId="0" fontId="10" fillId="0" borderId="0" xfId="24" applyBorder="1"/>
    <xf numFmtId="0" fontId="11" fillId="0" borderId="60" xfId="24" applyFont="1" applyFill="1" applyBorder="1"/>
    <xf numFmtId="0" fontId="10" fillId="0" borderId="60" xfId="24" applyBorder="1" applyAlignment="1">
      <alignment vertical="distributed"/>
    </xf>
    <xf numFmtId="3" fontId="10" fillId="0" borderId="60" xfId="24" applyNumberFormat="1" applyBorder="1" applyAlignment="1">
      <alignment horizontal="center"/>
    </xf>
    <xf numFmtId="0" fontId="9" fillId="0" borderId="60" xfId="24" applyFont="1" applyBorder="1" applyAlignment="1">
      <alignment horizontal="center" vertical="distributed"/>
    </xf>
    <xf numFmtId="3" fontId="9" fillId="0" borderId="60" xfId="24" applyNumberFormat="1" applyFont="1" applyBorder="1" applyAlignment="1">
      <alignment horizontal="center"/>
    </xf>
    <xf numFmtId="0" fontId="9" fillId="0" borderId="60" xfId="24" applyFont="1" applyBorder="1" applyAlignment="1">
      <alignment wrapText="1"/>
    </xf>
    <xf numFmtId="3" fontId="9" fillId="0" borderId="60" xfId="24" applyNumberFormat="1" applyFont="1" applyBorder="1" applyAlignment="1">
      <alignment horizontal="right"/>
    </xf>
    <xf numFmtId="0" fontId="10" fillId="0" borderId="63" xfId="24" applyFont="1" applyBorder="1" applyAlignment="1">
      <alignment wrapText="1"/>
    </xf>
    <xf numFmtId="0" fontId="11" fillId="0" borderId="63" xfId="24" applyFont="1" applyBorder="1" applyAlignment="1">
      <alignment wrapText="1"/>
    </xf>
    <xf numFmtId="0" fontId="9" fillId="0" borderId="60" xfId="24" applyFont="1" applyBorder="1"/>
    <xf numFmtId="0" fontId="7" fillId="0" borderId="60" xfId="24" applyFont="1" applyBorder="1"/>
    <xf numFmtId="3" fontId="11" fillId="0" borderId="60" xfId="24" applyNumberFormat="1" applyFont="1" applyBorder="1"/>
    <xf numFmtId="0" fontId="11" fillId="0" borderId="60" xfId="31" applyFont="1" applyBorder="1" applyAlignment="1">
      <alignment horizontal="center" vertical="distributed"/>
    </xf>
    <xf numFmtId="0" fontId="12" fillId="0" borderId="60" xfId="31" applyFont="1" applyBorder="1"/>
    <xf numFmtId="0" fontId="13" fillId="0" borderId="60" xfId="31" applyFont="1" applyBorder="1" applyAlignment="1">
      <alignment wrapText="1"/>
    </xf>
    <xf numFmtId="0" fontId="12" fillId="0" borderId="60" xfId="31" applyFont="1" applyBorder="1" applyAlignment="1">
      <alignment wrapText="1"/>
    </xf>
    <xf numFmtId="0" fontId="12" fillId="0" borderId="60" xfId="31" applyFont="1" applyBorder="1" applyAlignment="1">
      <alignment vertical="distributed"/>
    </xf>
    <xf numFmtId="3" fontId="12" fillId="0" borderId="60" xfId="31" applyNumberFormat="1" applyFont="1" applyBorder="1" applyAlignment="1">
      <alignment horizontal="center"/>
    </xf>
    <xf numFmtId="0" fontId="10" fillId="0" borderId="60" xfId="31" applyBorder="1"/>
    <xf numFmtId="3" fontId="13" fillId="0" borderId="60" xfId="31" applyNumberFormat="1" applyFont="1" applyBorder="1" applyAlignment="1">
      <alignment horizontal="center"/>
    </xf>
    <xf numFmtId="3" fontId="10" fillId="0" borderId="60" xfId="24" applyNumberFormat="1" applyBorder="1" applyAlignment="1">
      <alignment horizontal="right"/>
    </xf>
    <xf numFmtId="3" fontId="12" fillId="0" borderId="60" xfId="31" applyNumberFormat="1" applyFont="1" applyBorder="1" applyAlignment="1">
      <alignment horizontal="right"/>
    </xf>
    <xf numFmtId="3" fontId="12" fillId="0" borderId="60" xfId="31" applyNumberFormat="1" applyFont="1" applyBorder="1"/>
    <xf numFmtId="3" fontId="13" fillId="0" borderId="60" xfId="31" applyNumberFormat="1" applyFont="1" applyBorder="1"/>
    <xf numFmtId="3" fontId="13" fillId="0" borderId="60" xfId="31" applyNumberFormat="1" applyFont="1" applyFill="1" applyBorder="1"/>
    <xf numFmtId="3" fontId="12" fillId="0" borderId="60" xfId="31" applyNumberFormat="1" applyFont="1" applyFill="1" applyBorder="1"/>
    <xf numFmtId="3" fontId="13" fillId="0" borderId="60" xfId="31" applyNumberFormat="1" applyFont="1" applyFill="1" applyBorder="1" applyAlignment="1">
      <alignment horizontal="right"/>
    </xf>
    <xf numFmtId="3" fontId="10" fillId="0" borderId="60" xfId="24" applyNumberFormat="1" applyBorder="1"/>
    <xf numFmtId="3" fontId="10" fillId="0" borderId="60" xfId="24" applyNumberFormat="1" applyFont="1" applyFill="1" applyBorder="1"/>
    <xf numFmtId="3" fontId="11" fillId="0" borderId="60" xfId="24" applyNumberFormat="1" applyFont="1" applyFill="1" applyBorder="1" applyAlignment="1">
      <alignment horizontal="right"/>
    </xf>
    <xf numFmtId="3" fontId="11" fillId="0" borderId="60" xfId="24" applyNumberFormat="1" applyFont="1" applyFill="1" applyBorder="1"/>
    <xf numFmtId="3" fontId="9" fillId="0" borderId="60" xfId="24" applyNumberFormat="1" applyFont="1" applyBorder="1"/>
    <xf numFmtId="0" fontId="10" fillId="0" borderId="1" xfId="2" applyFont="1" applyBorder="1" applyAlignment="1">
      <alignment horizontal="center" wrapText="1"/>
    </xf>
    <xf numFmtId="3" fontId="10" fillId="0" borderId="1" xfId="2" applyNumberFormat="1" applyFont="1" applyBorder="1" applyAlignment="1">
      <alignment horizontal="center"/>
    </xf>
    <xf numFmtId="3" fontId="10" fillId="0" borderId="1" xfId="2" applyNumberFormat="1" applyBorder="1" applyAlignment="1">
      <alignment vertical="distributed"/>
    </xf>
    <xf numFmtId="3" fontId="10" fillId="0" borderId="1" xfId="2" applyNumberFormat="1" applyFont="1" applyBorder="1" applyAlignment="1">
      <alignment horizontal="right"/>
    </xf>
    <xf numFmtId="3" fontId="13" fillId="0" borderId="3" xfId="0" applyNumberFormat="1" applyFont="1" applyBorder="1" applyAlignment="1">
      <alignment horizontal="right" vertical="center"/>
    </xf>
    <xf numFmtId="3" fontId="12" fillId="0" borderId="64" xfId="7" applyNumberFormat="1" applyFont="1" applyBorder="1" applyAlignment="1">
      <alignment vertical="distributed"/>
    </xf>
    <xf numFmtId="3" fontId="12" fillId="0" borderId="64" xfId="7" applyNumberFormat="1" applyFont="1" applyFill="1" applyBorder="1" applyAlignment="1">
      <alignment vertical="distributed"/>
    </xf>
    <xf numFmtId="3" fontId="12" fillId="0" borderId="64" xfId="0" applyNumberFormat="1" applyFont="1" applyBorder="1" applyAlignment="1">
      <alignment horizontal="right" vertical="center"/>
    </xf>
    <xf numFmtId="3" fontId="12" fillId="0" borderId="65" xfId="0" applyNumberFormat="1" applyFont="1" applyBorder="1" applyAlignment="1">
      <alignment horizontal="right" vertical="center"/>
    </xf>
    <xf numFmtId="0" fontId="13" fillId="0" borderId="64" xfId="0" applyFont="1" applyBorder="1" applyAlignment="1">
      <alignment horizontal="left" vertical="center" wrapText="1"/>
    </xf>
    <xf numFmtId="3" fontId="13" fillId="0" borderId="67" xfId="0" applyNumberFormat="1" applyFont="1" applyBorder="1" applyAlignment="1">
      <alignment horizontal="right" vertical="center"/>
    </xf>
    <xf numFmtId="3" fontId="12" fillId="0" borderId="63" xfId="0" applyNumberFormat="1" applyFont="1" applyBorder="1" applyAlignment="1">
      <alignment horizontal="right" vertical="center"/>
    </xf>
    <xf numFmtId="3" fontId="12" fillId="0" borderId="69" xfId="0" applyNumberFormat="1" applyFont="1" applyBorder="1" applyAlignment="1">
      <alignment horizontal="right" vertical="center"/>
    </xf>
    <xf numFmtId="3" fontId="12" fillId="0" borderId="68" xfId="7" applyNumberFormat="1" applyFont="1" applyBorder="1" applyAlignment="1">
      <alignment vertical="distributed"/>
    </xf>
    <xf numFmtId="3" fontId="13" fillId="0" borderId="14" xfId="0" applyNumberFormat="1" applyFont="1" applyBorder="1" applyAlignment="1">
      <alignment horizontal="right" vertical="center"/>
    </xf>
    <xf numFmtId="3" fontId="12" fillId="0" borderId="60" xfId="7" applyNumberFormat="1" applyFont="1" applyBorder="1" applyAlignment="1">
      <alignment vertical="distributed"/>
    </xf>
    <xf numFmtId="3" fontId="12" fillId="0" borderId="60" xfId="7" applyNumberFormat="1" applyFont="1" applyFill="1" applyBorder="1" applyAlignment="1">
      <alignment vertical="distributed"/>
    </xf>
    <xf numFmtId="3" fontId="12" fillId="0" borderId="60" xfId="0" applyNumberFormat="1" applyFont="1" applyBorder="1" applyAlignment="1">
      <alignment horizontal="right" vertical="center"/>
    </xf>
    <xf numFmtId="0" fontId="22" fillId="0" borderId="67" xfId="7" applyFont="1" applyBorder="1" applyAlignment="1">
      <alignment horizontal="center" vertical="distributed"/>
    </xf>
    <xf numFmtId="0" fontId="13" fillId="0" borderId="14" xfId="7" applyFont="1" applyBorder="1"/>
    <xf numFmtId="0" fontId="13" fillId="0" borderId="70" xfId="7" applyFont="1" applyBorder="1" applyAlignment="1">
      <alignment vertical="distributed"/>
    </xf>
    <xf numFmtId="3" fontId="13" fillId="0" borderId="74" xfId="7" applyNumberFormat="1" applyFont="1" applyBorder="1"/>
    <xf numFmtId="3" fontId="13" fillId="0" borderId="66" xfId="7" applyNumberFormat="1" applyFont="1" applyBorder="1" applyAlignment="1">
      <alignment vertical="distributed"/>
    </xf>
    <xf numFmtId="3" fontId="13" fillId="0" borderId="76" xfId="7" applyNumberFormat="1" applyFont="1" applyBorder="1" applyAlignment="1">
      <alignment vertical="distributed"/>
    </xf>
    <xf numFmtId="3" fontId="12" fillId="0" borderId="74" xfId="7" applyNumberFormat="1" applyFont="1" applyBorder="1" applyAlignment="1">
      <alignment vertical="distributed"/>
    </xf>
    <xf numFmtId="3" fontId="44" fillId="0" borderId="0" xfId="12" applyNumberFormat="1"/>
    <xf numFmtId="3" fontId="10" fillId="0" borderId="0" xfId="14" applyNumberFormat="1" applyFont="1"/>
    <xf numFmtId="3" fontId="10" fillId="0" borderId="0" xfId="14" applyNumberFormat="1"/>
    <xf numFmtId="0" fontId="13" fillId="7" borderId="4" xfId="6" applyFont="1" applyFill="1" applyBorder="1" applyAlignment="1">
      <alignment horizontal="center"/>
    </xf>
    <xf numFmtId="0" fontId="13" fillId="7" borderId="17" xfId="6" applyFont="1" applyFill="1" applyBorder="1" applyAlignment="1">
      <alignment horizontal="center"/>
    </xf>
    <xf numFmtId="0" fontId="13" fillId="7" borderId="4" xfId="3" applyFont="1" applyFill="1" applyBorder="1" applyAlignment="1">
      <alignment horizontal="center"/>
    </xf>
    <xf numFmtId="0" fontId="13" fillId="7" borderId="17" xfId="3" applyFont="1" applyFill="1" applyBorder="1" applyAlignment="1">
      <alignment horizontal="center"/>
    </xf>
    <xf numFmtId="0" fontId="13" fillId="7" borderId="1" xfId="6" applyFont="1" applyFill="1" applyBorder="1" applyAlignment="1">
      <alignment horizontal="center" vertical="center" wrapText="1"/>
    </xf>
    <xf numFmtId="0" fontId="13" fillId="7" borderId="1" xfId="6" applyFont="1" applyFill="1" applyBorder="1" applyAlignment="1">
      <alignment horizontal="center" vertical="center"/>
    </xf>
    <xf numFmtId="3" fontId="13" fillId="7" borderId="9" xfId="3" applyNumberFormat="1" applyFont="1" applyFill="1" applyBorder="1" applyAlignment="1">
      <alignment horizontal="center" vertical="center" wrapText="1"/>
    </xf>
    <xf numFmtId="3" fontId="13" fillId="7" borderId="2" xfId="3" applyNumberFormat="1" applyFont="1" applyFill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3" fillId="4" borderId="4" xfId="1" applyFont="1" applyFill="1" applyBorder="1" applyAlignment="1">
      <alignment horizontal="center" vertical="center"/>
    </xf>
    <xf numFmtId="0" fontId="13" fillId="4" borderId="21" xfId="1" applyFont="1" applyFill="1" applyBorder="1" applyAlignment="1">
      <alignment horizontal="center" vertical="center"/>
    </xf>
    <xf numFmtId="0" fontId="13" fillId="4" borderId="17" xfId="1" applyFont="1" applyFill="1" applyBorder="1" applyAlignment="1">
      <alignment horizontal="center" vertical="center"/>
    </xf>
    <xf numFmtId="0" fontId="13" fillId="0" borderId="4" xfId="4" applyFont="1" applyFill="1" applyBorder="1" applyAlignment="1">
      <alignment horizontal="center"/>
    </xf>
    <xf numFmtId="0" fontId="13" fillId="0" borderId="21" xfId="4" applyFont="1" applyFill="1" applyBorder="1" applyAlignment="1">
      <alignment horizontal="center"/>
    </xf>
    <xf numFmtId="0" fontId="13" fillId="0" borderId="17" xfId="4" applyFont="1" applyFill="1" applyBorder="1" applyAlignment="1">
      <alignment horizontal="center"/>
    </xf>
    <xf numFmtId="0" fontId="13" fillId="5" borderId="4" xfId="1" applyFont="1" applyFill="1" applyBorder="1" applyAlignment="1">
      <alignment horizontal="left" vertical="center"/>
    </xf>
    <xf numFmtId="0" fontId="13" fillId="5" borderId="17" xfId="1" applyFont="1" applyFill="1" applyBorder="1" applyAlignment="1">
      <alignment horizontal="left" vertical="center"/>
    </xf>
    <xf numFmtId="0" fontId="13" fillId="5" borderId="9" xfId="4" applyFont="1" applyFill="1" applyBorder="1" applyAlignment="1">
      <alignment horizontal="center" vertical="center"/>
    </xf>
    <xf numFmtId="0" fontId="13" fillId="5" borderId="5" xfId="4" applyFont="1" applyFill="1" applyBorder="1" applyAlignment="1">
      <alignment horizontal="center" vertical="center"/>
    </xf>
    <xf numFmtId="0" fontId="13" fillId="5" borderId="2" xfId="4" applyFont="1" applyFill="1" applyBorder="1" applyAlignment="1">
      <alignment horizontal="center" vertical="center"/>
    </xf>
    <xf numFmtId="0" fontId="13" fillId="5" borderId="4" xfId="4" applyFont="1" applyFill="1" applyBorder="1" applyAlignment="1">
      <alignment horizontal="center" vertical="center"/>
    </xf>
    <xf numFmtId="0" fontId="13" fillId="5" borderId="21" xfId="4" applyFont="1" applyFill="1" applyBorder="1" applyAlignment="1">
      <alignment horizontal="center" vertical="center"/>
    </xf>
    <xf numFmtId="0" fontId="13" fillId="5" borderId="17" xfId="4" applyFont="1" applyFill="1" applyBorder="1" applyAlignment="1">
      <alignment horizontal="center" vertical="center"/>
    </xf>
    <xf numFmtId="0" fontId="13" fillId="5" borderId="34" xfId="4" applyFont="1" applyFill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3" fillId="5" borderId="40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9" xfId="4" applyFont="1" applyFill="1" applyBorder="1" applyAlignment="1">
      <alignment horizontal="center" vertical="center" wrapText="1"/>
    </xf>
    <xf numFmtId="0" fontId="13" fillId="5" borderId="2" xfId="4" applyFont="1" applyFill="1" applyBorder="1" applyAlignment="1">
      <alignment horizontal="center" vertical="center" wrapText="1"/>
    </xf>
    <xf numFmtId="0" fontId="13" fillId="7" borderId="9" xfId="6" applyFont="1" applyFill="1" applyBorder="1" applyAlignment="1">
      <alignment horizontal="center" vertical="center" wrapText="1"/>
    </xf>
    <xf numFmtId="0" fontId="13" fillId="7" borderId="2" xfId="6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32" fillId="7" borderId="4" xfId="0" applyFont="1" applyFill="1" applyBorder="1" applyAlignment="1">
      <alignment horizontal="left" vertical="center"/>
    </xf>
    <xf numFmtId="0" fontId="32" fillId="7" borderId="17" xfId="0" applyFont="1" applyFill="1" applyBorder="1" applyAlignment="1">
      <alignment horizontal="left" vertical="center"/>
    </xf>
    <xf numFmtId="0" fontId="32" fillId="5" borderId="4" xfId="0" applyFont="1" applyFill="1" applyBorder="1" applyAlignment="1">
      <alignment horizontal="left" vertical="center"/>
    </xf>
    <xf numFmtId="0" fontId="32" fillId="5" borderId="17" xfId="0" applyFont="1" applyFill="1" applyBorder="1" applyAlignment="1">
      <alignment horizontal="left" vertical="center"/>
    </xf>
    <xf numFmtId="0" fontId="32" fillId="5" borderId="1" xfId="0" applyFont="1" applyFill="1" applyBorder="1" applyAlignment="1">
      <alignment horizontal="left" vertical="center"/>
    </xf>
    <xf numFmtId="0" fontId="32" fillId="8" borderId="1" xfId="0" applyFont="1" applyFill="1" applyBorder="1" applyAlignment="1">
      <alignment horizontal="left" vertical="center"/>
    </xf>
    <xf numFmtId="0" fontId="32" fillId="7" borderId="1" xfId="0" applyFont="1" applyFill="1" applyBorder="1" applyAlignment="1">
      <alignment horizontal="left" vertical="center"/>
    </xf>
    <xf numFmtId="0" fontId="32" fillId="7" borderId="9" xfId="0" applyFont="1" applyFill="1" applyBorder="1" applyAlignment="1">
      <alignment horizontal="left" vertical="center"/>
    </xf>
    <xf numFmtId="0" fontId="32" fillId="7" borderId="20" xfId="0" applyFont="1" applyFill="1" applyBorder="1" applyAlignment="1">
      <alignment horizontal="left" vertical="center"/>
    </xf>
    <xf numFmtId="0" fontId="32" fillId="7" borderId="16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left" vertical="center"/>
    </xf>
    <xf numFmtId="0" fontId="10" fillId="7" borderId="20" xfId="12" applyFont="1" applyFill="1" applyBorder="1" applyAlignment="1">
      <alignment horizontal="center" vertical="center"/>
    </xf>
    <xf numFmtId="0" fontId="10" fillId="7" borderId="22" xfId="12" applyFont="1" applyFill="1" applyBorder="1" applyAlignment="1">
      <alignment horizontal="center" vertical="center"/>
    </xf>
    <xf numFmtId="0" fontId="10" fillId="7" borderId="16" xfId="12" applyFont="1" applyFill="1" applyBorder="1" applyAlignment="1">
      <alignment horizontal="center" vertical="center"/>
    </xf>
    <xf numFmtId="0" fontId="10" fillId="7" borderId="13" xfId="12" applyFont="1" applyFill="1" applyBorder="1" applyAlignment="1">
      <alignment horizontal="center" vertical="center"/>
    </xf>
    <xf numFmtId="0" fontId="10" fillId="7" borderId="25" xfId="12" applyFont="1" applyFill="1" applyBorder="1" applyAlignment="1">
      <alignment horizontal="center" vertical="center"/>
    </xf>
    <xf numFmtId="0" fontId="10" fillId="7" borderId="19" xfId="12" applyFont="1" applyFill="1" applyBorder="1" applyAlignment="1">
      <alignment horizontal="center" vertical="center"/>
    </xf>
    <xf numFmtId="0" fontId="44" fillId="7" borderId="4" xfId="12" applyFont="1" applyFill="1" applyBorder="1" applyAlignment="1">
      <alignment horizontal="center" vertical="center" wrapText="1"/>
    </xf>
    <xf numFmtId="0" fontId="44" fillId="7" borderId="21" xfId="12" applyFont="1" applyFill="1" applyBorder="1" applyAlignment="1">
      <alignment horizontal="center" vertical="center" wrapText="1"/>
    </xf>
    <xf numFmtId="0" fontId="44" fillId="7" borderId="17" xfId="12" applyFont="1" applyFill="1" applyBorder="1" applyAlignment="1">
      <alignment horizontal="center" vertical="center" wrapText="1"/>
    </xf>
    <xf numFmtId="0" fontId="2" fillId="7" borderId="4" xfId="12" applyFont="1" applyFill="1" applyBorder="1" applyAlignment="1">
      <alignment horizontal="center" vertical="center"/>
    </xf>
    <xf numFmtId="0" fontId="2" fillId="7" borderId="21" xfId="12" applyFont="1" applyFill="1" applyBorder="1" applyAlignment="1">
      <alignment horizontal="center" vertical="center"/>
    </xf>
    <xf numFmtId="0" fontId="2" fillId="7" borderId="17" xfId="12" applyFont="1" applyFill="1" applyBorder="1" applyAlignment="1">
      <alignment horizontal="center" vertical="center"/>
    </xf>
    <xf numFmtId="0" fontId="44" fillId="7" borderId="1" xfId="12" applyFont="1" applyFill="1" applyBorder="1" applyAlignment="1">
      <alignment horizontal="center" vertical="center" wrapText="1"/>
    </xf>
    <xf numFmtId="0" fontId="44" fillId="7" borderId="1" xfId="12" applyFont="1" applyFill="1" applyBorder="1" applyAlignment="1">
      <alignment horizontal="center" vertical="center"/>
    </xf>
    <xf numFmtId="0" fontId="10" fillId="7" borderId="20" xfId="12" applyFont="1" applyFill="1" applyBorder="1" applyAlignment="1">
      <alignment horizontal="center" vertical="center" wrapText="1"/>
    </xf>
    <xf numFmtId="0" fontId="44" fillId="7" borderId="22" xfId="12" applyFont="1" applyFill="1" applyBorder="1" applyAlignment="1">
      <alignment horizontal="center" vertical="center" wrapText="1"/>
    </xf>
    <xf numFmtId="0" fontId="44" fillId="7" borderId="16" xfId="12" applyFont="1" applyFill="1" applyBorder="1" applyAlignment="1">
      <alignment horizontal="center" vertical="center" wrapText="1"/>
    </xf>
    <xf numFmtId="0" fontId="44" fillId="7" borderId="13" xfId="12" applyFont="1" applyFill="1" applyBorder="1" applyAlignment="1">
      <alignment horizontal="center" vertical="center" wrapText="1"/>
    </xf>
    <xf numFmtId="0" fontId="44" fillId="7" borderId="25" xfId="12" applyFont="1" applyFill="1" applyBorder="1" applyAlignment="1">
      <alignment horizontal="center" vertical="center" wrapText="1"/>
    </xf>
    <xf numFmtId="0" fontId="44" fillId="7" borderId="19" xfId="12" applyFont="1" applyFill="1" applyBorder="1" applyAlignment="1">
      <alignment horizontal="center" vertical="center" wrapText="1"/>
    </xf>
    <xf numFmtId="0" fontId="10" fillId="7" borderId="4" xfId="12" applyFont="1" applyFill="1" applyBorder="1" applyAlignment="1">
      <alignment horizontal="center" vertical="center" wrapText="1"/>
    </xf>
    <xf numFmtId="0" fontId="43" fillId="8" borderId="4" xfId="12" applyFont="1" applyFill="1" applyBorder="1" applyAlignment="1">
      <alignment horizontal="center" vertical="center"/>
    </xf>
    <xf numFmtId="0" fontId="43" fillId="8" borderId="21" xfId="12" applyFont="1" applyFill="1" applyBorder="1" applyAlignment="1">
      <alignment horizontal="center" vertical="center"/>
    </xf>
    <xf numFmtId="0" fontId="43" fillId="8" borderId="17" xfId="12" applyFont="1" applyFill="1" applyBorder="1" applyAlignment="1">
      <alignment horizontal="center" vertical="center"/>
    </xf>
    <xf numFmtId="0" fontId="10" fillId="7" borderId="21" xfId="12" applyFont="1" applyFill="1" applyBorder="1" applyAlignment="1">
      <alignment horizontal="center" vertical="center" wrapText="1"/>
    </xf>
    <xf numFmtId="0" fontId="10" fillId="7" borderId="17" xfId="12" applyFont="1" applyFill="1" applyBorder="1" applyAlignment="1">
      <alignment horizontal="center" vertical="center" wrapText="1"/>
    </xf>
    <xf numFmtId="0" fontId="5" fillId="7" borderId="4" xfId="12" applyFont="1" applyFill="1" applyBorder="1" applyAlignment="1">
      <alignment horizontal="center" vertical="center"/>
    </xf>
    <xf numFmtId="0" fontId="5" fillId="7" borderId="21" xfId="12" applyFont="1" applyFill="1" applyBorder="1" applyAlignment="1">
      <alignment horizontal="center" vertical="center"/>
    </xf>
    <xf numFmtId="0" fontId="5" fillId="7" borderId="17" xfId="12" applyFont="1" applyFill="1" applyBorder="1" applyAlignment="1">
      <alignment horizontal="center" vertical="center"/>
    </xf>
    <xf numFmtId="0" fontId="31" fillId="7" borderId="1" xfId="12" applyFont="1" applyFill="1" applyBorder="1" applyAlignment="1">
      <alignment horizontal="center" vertical="center" wrapText="1"/>
    </xf>
    <xf numFmtId="0" fontId="4" fillId="7" borderId="1" xfId="12" applyFont="1" applyFill="1" applyBorder="1" applyAlignment="1">
      <alignment horizontal="center" vertical="center" wrapText="1"/>
    </xf>
    <xf numFmtId="0" fontId="4" fillId="7" borderId="20" xfId="12" applyFont="1" applyFill="1" applyBorder="1" applyAlignment="1">
      <alignment horizontal="center" vertical="center" wrapText="1"/>
    </xf>
    <xf numFmtId="0" fontId="4" fillId="7" borderId="22" xfId="12" applyFont="1" applyFill="1" applyBorder="1" applyAlignment="1">
      <alignment horizontal="center" vertical="center" wrapText="1"/>
    </xf>
    <xf numFmtId="0" fontId="4" fillId="7" borderId="16" xfId="12" applyFont="1" applyFill="1" applyBorder="1" applyAlignment="1">
      <alignment horizontal="center" vertical="center" wrapText="1"/>
    </xf>
    <xf numFmtId="0" fontId="4" fillId="7" borderId="13" xfId="12" applyFont="1" applyFill="1" applyBorder="1" applyAlignment="1">
      <alignment horizontal="center" vertical="center" wrapText="1"/>
    </xf>
    <xf numFmtId="0" fontId="4" fillId="7" borderId="25" xfId="12" applyFont="1" applyFill="1" applyBorder="1" applyAlignment="1">
      <alignment horizontal="center" vertical="center" wrapText="1"/>
    </xf>
    <xf numFmtId="0" fontId="4" fillId="7" borderId="19" xfId="12" applyFont="1" applyFill="1" applyBorder="1" applyAlignment="1">
      <alignment horizontal="center" vertical="center" wrapText="1"/>
    </xf>
    <xf numFmtId="0" fontId="4" fillId="7" borderId="4" xfId="12" applyFont="1" applyFill="1" applyBorder="1" applyAlignment="1">
      <alignment horizontal="center" vertical="center" wrapText="1"/>
    </xf>
    <xf numFmtId="0" fontId="4" fillId="7" borderId="21" xfId="12" applyFont="1" applyFill="1" applyBorder="1" applyAlignment="1">
      <alignment horizontal="center" vertical="center" wrapText="1"/>
    </xf>
    <xf numFmtId="0" fontId="4" fillId="7" borderId="17" xfId="12" applyFont="1" applyFill="1" applyBorder="1" applyAlignment="1">
      <alignment horizontal="center" vertical="center" wrapText="1"/>
    </xf>
    <xf numFmtId="0" fontId="30" fillId="7" borderId="1" xfId="12" applyFont="1" applyFill="1" applyBorder="1" applyAlignment="1">
      <alignment horizontal="center" vertical="center" wrapText="1"/>
    </xf>
    <xf numFmtId="0" fontId="5" fillId="6" borderId="1" xfId="12" applyFont="1" applyFill="1" applyBorder="1" applyAlignment="1">
      <alignment horizontal="center" vertical="center" wrapText="1"/>
    </xf>
    <xf numFmtId="0" fontId="2" fillId="7" borderId="1" xfId="12" applyFont="1" applyFill="1" applyBorder="1" applyAlignment="1">
      <alignment horizontal="center" vertical="center" wrapText="1"/>
    </xf>
    <xf numFmtId="0" fontId="5" fillId="7" borderId="1" xfId="12" applyFont="1" applyFill="1" applyBorder="1" applyAlignment="1">
      <alignment horizontal="center" vertical="center" wrapText="1"/>
    </xf>
    <xf numFmtId="0" fontId="20" fillId="0" borderId="1" xfId="8" applyFont="1" applyFill="1" applyBorder="1" applyAlignment="1">
      <alignment horizontal="center" vertical="center"/>
    </xf>
    <xf numFmtId="0" fontId="20" fillId="2" borderId="1" xfId="8" applyFont="1" applyFill="1" applyBorder="1" applyAlignment="1">
      <alignment horizontal="center" vertical="center" wrapText="1"/>
    </xf>
    <xf numFmtId="0" fontId="15" fillId="2" borderId="1" xfId="8" applyFont="1" applyFill="1" applyBorder="1" applyAlignment="1">
      <alignment horizontal="center" vertical="center" wrapText="1"/>
    </xf>
    <xf numFmtId="0" fontId="20" fillId="2" borderId="1" xfId="8" applyFont="1" applyFill="1" applyBorder="1" applyAlignment="1">
      <alignment horizontal="center" vertical="center"/>
    </xf>
    <xf numFmtId="0" fontId="15" fillId="2" borderId="9" xfId="8" applyFont="1" applyFill="1" applyBorder="1" applyAlignment="1">
      <alignment horizontal="center" vertical="center" wrapText="1"/>
    </xf>
    <xf numFmtId="0" fontId="15" fillId="2" borderId="5" xfId="8" applyFont="1" applyFill="1" applyBorder="1" applyAlignment="1">
      <alignment horizontal="center" vertical="center" wrapText="1"/>
    </xf>
    <xf numFmtId="0" fontId="15" fillId="2" borderId="2" xfId="8" applyFont="1" applyFill="1" applyBorder="1" applyAlignment="1">
      <alignment horizontal="center" vertical="center" wrapText="1"/>
    </xf>
    <xf numFmtId="0" fontId="15" fillId="2" borderId="1" xfId="8" applyFont="1" applyFill="1" applyBorder="1" applyAlignment="1">
      <alignment horizontal="center" vertical="center"/>
    </xf>
    <xf numFmtId="0" fontId="9" fillId="5" borderId="4" xfId="5" applyFont="1" applyFill="1" applyBorder="1" applyAlignment="1">
      <alignment horizontal="left"/>
    </xf>
    <xf numFmtId="0" fontId="9" fillId="5" borderId="17" xfId="5" applyFont="1" applyFill="1" applyBorder="1" applyAlignment="1">
      <alignment horizontal="left"/>
    </xf>
    <xf numFmtId="0" fontId="13" fillId="6" borderId="73" xfId="7" applyFont="1" applyFill="1" applyBorder="1" applyAlignment="1">
      <alignment horizontal="center"/>
    </xf>
    <xf numFmtId="0" fontId="13" fillId="6" borderId="74" xfId="7" applyFont="1" applyFill="1" applyBorder="1" applyAlignment="1">
      <alignment horizontal="center"/>
    </xf>
    <xf numFmtId="0" fontId="13" fillId="2" borderId="63" xfId="7" applyFont="1" applyFill="1" applyBorder="1" applyAlignment="1">
      <alignment horizontal="center" vertical="center" wrapText="1"/>
    </xf>
    <xf numFmtId="0" fontId="13" fillId="2" borderId="61" xfId="7" applyFont="1" applyFill="1" applyBorder="1" applyAlignment="1">
      <alignment horizontal="center" vertical="center" wrapText="1"/>
    </xf>
    <xf numFmtId="0" fontId="13" fillId="2" borderId="2" xfId="7" applyFont="1" applyFill="1" applyBorder="1" applyAlignment="1">
      <alignment horizontal="center" vertical="center" wrapText="1"/>
    </xf>
    <xf numFmtId="0" fontId="8" fillId="0" borderId="0" xfId="7" applyFont="1" applyBorder="1" applyAlignment="1">
      <alignment horizontal="right"/>
    </xf>
    <xf numFmtId="0" fontId="13" fillId="2" borderId="71" xfId="7" applyFont="1" applyFill="1" applyBorder="1" applyAlignment="1">
      <alignment horizontal="center" vertical="center" wrapText="1"/>
    </xf>
    <xf numFmtId="0" fontId="13" fillId="2" borderId="29" xfId="7" applyFont="1" applyFill="1" applyBorder="1" applyAlignment="1">
      <alignment horizontal="center" vertical="center" wrapText="1"/>
    </xf>
    <xf numFmtId="0" fontId="13" fillId="2" borderId="12" xfId="7" applyFont="1" applyFill="1" applyBorder="1" applyAlignment="1">
      <alignment horizontal="center" vertical="center" wrapText="1"/>
    </xf>
    <xf numFmtId="0" fontId="13" fillId="2" borderId="44" xfId="7" applyFont="1" applyFill="1" applyBorder="1" applyAlignment="1">
      <alignment horizontal="center" vertical="center" wrapText="1"/>
    </xf>
    <xf numFmtId="0" fontId="13" fillId="2" borderId="62" xfId="7" applyFont="1" applyFill="1" applyBorder="1" applyAlignment="1">
      <alignment horizontal="center" vertical="center" wrapText="1"/>
    </xf>
    <xf numFmtId="0" fontId="13" fillId="2" borderId="13" xfId="7" applyFont="1" applyFill="1" applyBorder="1" applyAlignment="1">
      <alignment horizontal="center" vertical="center" wrapText="1"/>
    </xf>
    <xf numFmtId="0" fontId="13" fillId="2" borderId="75" xfId="7" applyFont="1" applyFill="1" applyBorder="1" applyAlignment="1">
      <alignment horizontal="center" vertical="center" wrapText="1"/>
    </xf>
    <xf numFmtId="0" fontId="13" fillId="2" borderId="72" xfId="7" applyFont="1" applyFill="1" applyBorder="1" applyAlignment="1">
      <alignment horizontal="center" vertical="center" wrapText="1"/>
    </xf>
    <xf numFmtId="0" fontId="13" fillId="2" borderId="66" xfId="7" applyFont="1" applyFill="1" applyBorder="1" applyAlignment="1">
      <alignment horizontal="center" vertical="center" wrapText="1"/>
    </xf>
    <xf numFmtId="0" fontId="13" fillId="6" borderId="60" xfId="7" applyFont="1" applyFill="1" applyBorder="1" applyAlignment="1">
      <alignment horizontal="center" vertical="center" wrapText="1"/>
    </xf>
    <xf numFmtId="0" fontId="13" fillId="2" borderId="26" xfId="7" applyFont="1" applyFill="1" applyBorder="1" applyAlignment="1">
      <alignment horizontal="center" vertical="center" wrapText="1"/>
    </xf>
    <xf numFmtId="0" fontId="13" fillId="2" borderId="27" xfId="7" applyFont="1" applyFill="1" applyBorder="1" applyAlignment="1">
      <alignment horizontal="center" vertical="center" wrapText="1"/>
    </xf>
    <xf numFmtId="0" fontId="13" fillId="2" borderId="28" xfId="7" applyFont="1" applyFill="1" applyBorder="1" applyAlignment="1">
      <alignment horizontal="center" vertical="center" wrapText="1"/>
    </xf>
    <xf numFmtId="0" fontId="13" fillId="2" borderId="77" xfId="7" applyFont="1" applyFill="1" applyBorder="1" applyAlignment="1">
      <alignment horizontal="center" vertical="center" wrapText="1"/>
    </xf>
    <xf numFmtId="0" fontId="13" fillId="2" borderId="11" xfId="7" applyFont="1" applyFill="1" applyBorder="1" applyAlignment="1">
      <alignment horizontal="center" vertical="center" wrapText="1"/>
    </xf>
    <xf numFmtId="0" fontId="13" fillId="2" borderId="60" xfId="7" applyFont="1" applyFill="1" applyBorder="1" applyAlignment="1">
      <alignment horizontal="center" vertical="center" wrapText="1"/>
    </xf>
    <xf numFmtId="0" fontId="9" fillId="7" borderId="33" xfId="15" applyFont="1" applyFill="1" applyBorder="1" applyAlignment="1">
      <alignment horizontal="center" vertical="center"/>
    </xf>
    <xf numFmtId="0" fontId="17" fillId="0" borderId="33" xfId="14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17" fillId="0" borderId="0" xfId="14" applyFont="1" applyBorder="1" applyAlignment="1">
      <alignment horizontal="center"/>
    </xf>
    <xf numFmtId="0" fontId="17" fillId="7" borderId="33" xfId="14" applyFont="1" applyFill="1" applyBorder="1" applyAlignment="1">
      <alignment horizontal="center" vertical="center" wrapText="1"/>
    </xf>
    <xf numFmtId="0" fontId="17" fillId="7" borderId="33" xfId="14" applyFont="1" applyFill="1" applyBorder="1" applyAlignment="1">
      <alignment horizontal="center" vertical="center"/>
    </xf>
    <xf numFmtId="0" fontId="13" fillId="5" borderId="33" xfId="15" applyFont="1" applyFill="1" applyBorder="1" applyAlignment="1">
      <alignment horizontal="center" vertical="center"/>
    </xf>
    <xf numFmtId="0" fontId="16" fillId="0" borderId="0" xfId="14" applyFont="1" applyBorder="1" applyAlignment="1">
      <alignment horizontal="right"/>
    </xf>
    <xf numFmtId="0" fontId="17" fillId="5" borderId="42" xfId="14" applyFont="1" applyFill="1" applyBorder="1" applyAlignment="1">
      <alignment horizontal="center" vertical="center" wrapText="1"/>
    </xf>
    <xf numFmtId="0" fontId="17" fillId="5" borderId="43" xfId="14" applyFont="1" applyFill="1" applyBorder="1" applyAlignment="1">
      <alignment horizontal="center" vertical="center" wrapText="1"/>
    </xf>
    <xf numFmtId="0" fontId="17" fillId="5" borderId="40" xfId="14" applyFont="1" applyFill="1" applyBorder="1" applyAlignment="1">
      <alignment horizontal="center" vertical="center" wrapText="1"/>
    </xf>
    <xf numFmtId="0" fontId="17" fillId="5" borderId="2" xfId="14" applyFont="1" applyFill="1" applyBorder="1" applyAlignment="1">
      <alignment horizontal="center" vertical="center" wrapText="1"/>
    </xf>
    <xf numFmtId="0" fontId="17" fillId="5" borderId="33" xfId="14" applyFont="1" applyFill="1" applyBorder="1" applyAlignment="1">
      <alignment horizontal="center" vertical="center"/>
    </xf>
    <xf numFmtId="0" fontId="11" fillId="7" borderId="1" xfId="9" applyFont="1" applyFill="1" applyBorder="1" applyAlignment="1">
      <alignment horizontal="center" vertical="center" wrapText="1"/>
    </xf>
    <xf numFmtId="0" fontId="9" fillId="7" borderId="4" xfId="9" applyFont="1" applyFill="1" applyBorder="1" applyAlignment="1">
      <alignment horizontal="left" vertical="center"/>
    </xf>
    <xf numFmtId="0" fontId="9" fillId="7" borderId="21" xfId="9" applyFont="1" applyFill="1" applyBorder="1" applyAlignment="1">
      <alignment horizontal="left" vertical="center"/>
    </xf>
    <xf numFmtId="0" fontId="9" fillId="7" borderId="17" xfId="9" applyFont="1" applyFill="1" applyBorder="1" applyAlignment="1">
      <alignment horizontal="left" vertical="center"/>
    </xf>
    <xf numFmtId="0" fontId="11" fillId="7" borderId="9" xfId="9" applyFont="1" applyFill="1" applyBorder="1" applyAlignment="1">
      <alignment horizontal="center" vertical="center" wrapText="1"/>
    </xf>
    <xf numFmtId="0" fontId="11" fillId="7" borderId="5" xfId="9" applyFont="1" applyFill="1" applyBorder="1" applyAlignment="1">
      <alignment horizontal="center" vertical="center" wrapText="1"/>
    </xf>
    <xf numFmtId="0" fontId="11" fillId="7" borderId="2" xfId="9" applyFont="1" applyFill="1" applyBorder="1" applyAlignment="1">
      <alignment horizontal="center" vertical="center" wrapText="1"/>
    </xf>
    <xf numFmtId="0" fontId="11" fillId="7" borderId="9" xfId="9" applyFont="1" applyFill="1" applyBorder="1" applyAlignment="1">
      <alignment horizontal="center" vertical="distributed"/>
    </xf>
    <xf numFmtId="0" fontId="11" fillId="7" borderId="5" xfId="9" applyFont="1" applyFill="1" applyBorder="1" applyAlignment="1">
      <alignment horizontal="center" vertical="distributed"/>
    </xf>
    <xf numFmtId="0" fontId="11" fillId="7" borderId="2" xfId="9" applyFont="1" applyFill="1" applyBorder="1" applyAlignment="1">
      <alignment horizontal="center" vertical="distributed"/>
    </xf>
    <xf numFmtId="0" fontId="13" fillId="7" borderId="20" xfId="9" applyFont="1" applyFill="1" applyBorder="1" applyAlignment="1">
      <alignment horizontal="distributed" vertical="distributed"/>
    </xf>
    <xf numFmtId="0" fontId="27" fillId="7" borderId="22" xfId="9" applyFont="1" applyFill="1" applyBorder="1" applyAlignment="1">
      <alignment horizontal="distributed" vertical="distributed"/>
    </xf>
    <xf numFmtId="0" fontId="27" fillId="7" borderId="16" xfId="9" applyFont="1" applyFill="1" applyBorder="1" applyAlignment="1">
      <alignment horizontal="distributed" vertical="distributed"/>
    </xf>
    <xf numFmtId="0" fontId="27" fillId="7" borderId="23" xfId="9" applyFont="1" applyFill="1" applyBorder="1" applyAlignment="1">
      <alignment horizontal="distributed" vertical="distributed"/>
    </xf>
    <xf numFmtId="0" fontId="27" fillId="7" borderId="0" xfId="9" applyFont="1" applyFill="1" applyBorder="1" applyAlignment="1">
      <alignment horizontal="distributed" vertical="distributed"/>
    </xf>
    <xf numFmtId="0" fontId="27" fillId="7" borderId="24" xfId="9" applyFont="1" applyFill="1" applyBorder="1" applyAlignment="1">
      <alignment horizontal="distributed" vertical="distributed"/>
    </xf>
    <xf numFmtId="0" fontId="27" fillId="7" borderId="13" xfId="9" applyFont="1" applyFill="1" applyBorder="1" applyAlignment="1">
      <alignment horizontal="distributed" vertical="distributed"/>
    </xf>
    <xf numFmtId="0" fontId="27" fillId="7" borderId="25" xfId="9" applyFont="1" applyFill="1" applyBorder="1" applyAlignment="1">
      <alignment horizontal="distributed" vertical="distributed"/>
    </xf>
    <xf numFmtId="0" fontId="27" fillId="7" borderId="19" xfId="9" applyFont="1" applyFill="1" applyBorder="1" applyAlignment="1">
      <alignment horizontal="distributed" vertical="distributed"/>
    </xf>
    <xf numFmtId="0" fontId="7" fillId="0" borderId="4" xfId="9" applyFont="1" applyBorder="1" applyAlignment="1">
      <alignment horizontal="left" vertical="center" wrapText="1"/>
    </xf>
    <xf numFmtId="0" fontId="7" fillId="0" borderId="21" xfId="9" applyFont="1" applyBorder="1" applyAlignment="1">
      <alignment horizontal="left" vertical="center" wrapText="1"/>
    </xf>
    <xf numFmtId="0" fontId="7" fillId="0" borderId="17" xfId="9" applyFont="1" applyBorder="1" applyAlignment="1">
      <alignment horizontal="left" vertical="center" wrapText="1"/>
    </xf>
    <xf numFmtId="0" fontId="7" fillId="0" borderId="1" xfId="9" applyFont="1" applyBorder="1" applyAlignment="1">
      <alignment horizontal="left" vertical="center"/>
    </xf>
    <xf numFmtId="0" fontId="11" fillId="7" borderId="1" xfId="9" applyFont="1" applyFill="1" applyBorder="1" applyAlignment="1">
      <alignment horizontal="center"/>
    </xf>
    <xf numFmtId="0" fontId="33" fillId="5" borderId="45" xfId="0" applyFont="1" applyFill="1" applyBorder="1" applyAlignment="1">
      <alignment horizontal="center" vertical="center" wrapText="1"/>
    </xf>
    <xf numFmtId="0" fontId="33" fillId="5" borderId="2" xfId="0" applyFont="1" applyFill="1" applyBorder="1" applyAlignment="1">
      <alignment horizontal="center" vertical="center" wrapText="1"/>
    </xf>
    <xf numFmtId="0" fontId="48" fillId="5" borderId="42" xfId="0" applyFont="1" applyFill="1" applyBorder="1" applyAlignment="1">
      <alignment horizontal="center" vertical="center"/>
    </xf>
    <xf numFmtId="0" fontId="48" fillId="5" borderId="3" xfId="0" applyFont="1" applyFill="1" applyBorder="1" applyAlignment="1">
      <alignment horizontal="center" vertical="center"/>
    </xf>
    <xf numFmtId="0" fontId="48" fillId="5" borderId="44" xfId="0" applyFont="1" applyFill="1" applyBorder="1" applyAlignment="1">
      <alignment horizontal="center" vertical="center"/>
    </xf>
    <xf numFmtId="0" fontId="48" fillId="5" borderId="13" xfId="0" applyFont="1" applyFill="1" applyBorder="1" applyAlignment="1">
      <alignment horizontal="center" vertical="center"/>
    </xf>
    <xf numFmtId="0" fontId="48" fillId="5" borderId="45" xfId="0" applyFont="1" applyFill="1" applyBorder="1" applyAlignment="1">
      <alignment horizontal="center" vertical="distributed"/>
    </xf>
    <xf numFmtId="0" fontId="48" fillId="5" borderId="2" xfId="0" applyFont="1" applyFill="1" applyBorder="1" applyAlignment="1">
      <alignment horizontal="center" vertical="distributed"/>
    </xf>
    <xf numFmtId="0" fontId="48" fillId="5" borderId="45" xfId="0" applyFont="1" applyFill="1" applyBorder="1" applyAlignment="1">
      <alignment horizontal="distributed" vertical="center"/>
    </xf>
    <xf numFmtId="0" fontId="48" fillId="5" borderId="2" xfId="0" applyFont="1" applyFill="1" applyBorder="1" applyAlignment="1">
      <alignment horizontal="distributed" vertical="center"/>
    </xf>
    <xf numFmtId="0" fontId="11" fillId="5" borderId="9" xfId="15" applyFont="1" applyFill="1" applyBorder="1" applyAlignment="1">
      <alignment horizontal="center" vertical="distributed"/>
    </xf>
    <xf numFmtId="0" fontId="11" fillId="5" borderId="2" xfId="15" applyFont="1" applyFill="1" applyBorder="1" applyAlignment="1">
      <alignment horizontal="center" vertical="distributed"/>
    </xf>
    <xf numFmtId="0" fontId="11" fillId="5" borderId="5" xfId="15" applyFont="1" applyFill="1" applyBorder="1" applyAlignment="1">
      <alignment horizontal="center" vertical="distributed"/>
    </xf>
    <xf numFmtId="0" fontId="32" fillId="5" borderId="35" xfId="0" applyFont="1" applyFill="1" applyBorder="1" applyAlignment="1">
      <alignment horizontal="center" vertical="center"/>
    </xf>
    <xf numFmtId="0" fontId="32" fillId="5" borderId="46" xfId="0" applyFont="1" applyFill="1" applyBorder="1" applyAlignment="1">
      <alignment horizontal="center" vertical="center"/>
    </xf>
    <xf numFmtId="0" fontId="56" fillId="0" borderId="56" xfId="37" applyFont="1" applyBorder="1" applyAlignment="1">
      <alignment horizontal="left" vertical="center" wrapText="1"/>
    </xf>
    <xf numFmtId="49" fontId="56" fillId="0" borderId="57" xfId="36" applyNumberFormat="1" applyFont="1" applyBorder="1" applyAlignment="1">
      <alignment horizontal="right" vertical="center"/>
    </xf>
    <xf numFmtId="49" fontId="56" fillId="0" borderId="58" xfId="36" applyNumberFormat="1" applyFont="1" applyBorder="1" applyAlignment="1">
      <alignment horizontal="right" vertical="center"/>
    </xf>
    <xf numFmtId="3" fontId="56" fillId="0" borderId="57" xfId="36" applyNumberFormat="1" applyFont="1" applyBorder="1" applyAlignment="1">
      <alignment horizontal="right" vertical="center"/>
    </xf>
    <xf numFmtId="49" fontId="50" fillId="0" borderId="53" xfId="36" applyNumberFormat="1" applyFont="1" applyBorder="1" applyAlignment="1">
      <alignment horizontal="center"/>
    </xf>
    <xf numFmtId="49" fontId="50" fillId="0" borderId="54" xfId="36" applyNumberFormat="1" applyFont="1" applyBorder="1" applyAlignment="1">
      <alignment horizontal="center"/>
    </xf>
    <xf numFmtId="49" fontId="50" fillId="0" borderId="55" xfId="36" applyNumberFormat="1" applyFont="1" applyBorder="1" applyAlignment="1">
      <alignment horizontal="center"/>
    </xf>
    <xf numFmtId="0" fontId="59" fillId="0" borderId="0" xfId="36" applyFont="1" applyAlignment="1">
      <alignment horizontal="center" vertical="center" wrapText="1"/>
    </xf>
    <xf numFmtId="49" fontId="14" fillId="0" borderId="0" xfId="37" applyNumberFormat="1" applyFont="1" applyFill="1" applyBorder="1" applyAlignment="1">
      <alignment horizontal="right"/>
    </xf>
    <xf numFmtId="49" fontId="11" fillId="0" borderId="50" xfId="37" applyNumberFormat="1" applyFont="1" applyBorder="1" applyAlignment="1">
      <alignment horizontal="center" vertical="center" wrapText="1"/>
    </xf>
    <xf numFmtId="49" fontId="11" fillId="0" borderId="51" xfId="37" applyNumberFormat="1" applyFont="1" applyBorder="1" applyAlignment="1">
      <alignment horizontal="center" vertical="center" wrapText="1"/>
    </xf>
    <xf numFmtId="49" fontId="11" fillId="0" borderId="52" xfId="37" applyNumberFormat="1" applyFont="1" applyBorder="1" applyAlignment="1">
      <alignment horizontal="center" vertical="center" wrapText="1"/>
    </xf>
    <xf numFmtId="0" fontId="55" fillId="0" borderId="0" xfId="36" applyFont="1" applyBorder="1" applyAlignment="1">
      <alignment horizontal="center" vertical="center"/>
    </xf>
    <xf numFmtId="0" fontId="56" fillId="0" borderId="0" xfId="36" applyFont="1" applyAlignment="1">
      <alignment horizontal="center" vertical="center"/>
    </xf>
    <xf numFmtId="0" fontId="10" fillId="0" borderId="0" xfId="2" applyBorder="1" applyAlignment="1">
      <alignment horizontal="right"/>
    </xf>
    <xf numFmtId="0" fontId="11" fillId="2" borderId="1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/>
    </xf>
    <xf numFmtId="0" fontId="10" fillId="0" borderId="0" xfId="2" applyAlignment="1">
      <alignment horizontal="center"/>
    </xf>
    <xf numFmtId="0" fontId="10" fillId="0" borderId="1" xfId="2" applyFont="1" applyBorder="1" applyAlignment="1">
      <alignment horizontal="left" vertical="distributed"/>
    </xf>
    <xf numFmtId="0" fontId="10" fillId="0" borderId="1" xfId="2" applyBorder="1" applyAlignment="1">
      <alignment horizontal="left" vertical="distributed"/>
    </xf>
    <xf numFmtId="0" fontId="11" fillId="0" borderId="4" xfId="2" applyFont="1" applyBorder="1" applyAlignment="1">
      <alignment horizontal="left" vertical="distributed"/>
    </xf>
    <xf numFmtId="0" fontId="11" fillId="0" borderId="21" xfId="2" applyFont="1" applyBorder="1" applyAlignment="1">
      <alignment horizontal="left" vertical="distributed"/>
    </xf>
    <xf numFmtId="0" fontId="11" fillId="0" borderId="17" xfId="2" applyFont="1" applyBorder="1" applyAlignment="1">
      <alignment horizontal="left" vertical="distributed"/>
    </xf>
    <xf numFmtId="0" fontId="11" fillId="0" borderId="1" xfId="2" applyFont="1" applyBorder="1" applyAlignment="1">
      <alignment horizontal="left" vertical="distributed"/>
    </xf>
    <xf numFmtId="0" fontId="11" fillId="0" borderId="4" xfId="2" applyFont="1" applyFill="1" applyBorder="1" applyAlignment="1">
      <alignment horizontal="left" vertical="center" wrapText="1"/>
    </xf>
    <xf numFmtId="0" fontId="11" fillId="0" borderId="21" xfId="2" applyFont="1" applyFill="1" applyBorder="1" applyAlignment="1">
      <alignment horizontal="left" vertical="center" wrapText="1"/>
    </xf>
    <xf numFmtId="0" fontId="11" fillId="0" borderId="17" xfId="2" applyFont="1" applyFill="1" applyBorder="1" applyAlignment="1">
      <alignment horizontal="left" vertical="center" wrapText="1"/>
    </xf>
    <xf numFmtId="49" fontId="19" fillId="5" borderId="33" xfId="34" applyNumberFormat="1" applyFont="1" applyFill="1" applyBorder="1" applyAlignment="1">
      <alignment horizontal="left" vertical="center" wrapText="1"/>
    </xf>
    <xf numFmtId="0" fontId="19" fillId="0" borderId="33" xfId="34" applyFont="1" applyBorder="1" applyAlignment="1">
      <alignment horizontal="center" vertical="center" wrapText="1"/>
    </xf>
    <xf numFmtId="0" fontId="19" fillId="7" borderId="33" xfId="34" applyFont="1" applyFill="1" applyBorder="1" applyAlignment="1">
      <alignment horizontal="left" vertical="center" wrapText="1"/>
    </xf>
    <xf numFmtId="49" fontId="18" fillId="0" borderId="33" xfId="34" applyNumberFormat="1" applyFont="1" applyBorder="1" applyAlignment="1">
      <alignment horizontal="left" vertical="center" wrapText="1"/>
    </xf>
    <xf numFmtId="49" fontId="19" fillId="0" borderId="33" xfId="34" applyNumberFormat="1" applyFont="1" applyBorder="1" applyAlignment="1">
      <alignment horizontal="left" vertical="center" wrapText="1"/>
    </xf>
    <xf numFmtId="49" fontId="18" fillId="0" borderId="33" xfId="34" applyNumberFormat="1" applyFont="1" applyBorder="1" applyAlignment="1">
      <alignment vertical="center" wrapText="1"/>
    </xf>
    <xf numFmtId="49" fontId="19" fillId="5" borderId="33" xfId="34" applyNumberFormat="1" applyFont="1" applyFill="1" applyBorder="1" applyAlignment="1">
      <alignment horizontal="center" vertical="center" wrapText="1"/>
    </xf>
    <xf numFmtId="0" fontId="19" fillId="2" borderId="47" xfId="34" applyFont="1" applyFill="1" applyBorder="1" applyAlignment="1">
      <alignment horizontal="center" vertical="center" wrapText="1"/>
    </xf>
    <xf numFmtId="0" fontId="19" fillId="2" borderId="13" xfId="34" applyFont="1" applyFill="1" applyBorder="1" applyAlignment="1">
      <alignment horizontal="center" vertical="center" wrapText="1"/>
    </xf>
    <xf numFmtId="0" fontId="19" fillId="0" borderId="33" xfId="34" applyFont="1" applyBorder="1" applyAlignment="1">
      <alignment horizontal="left" vertical="center" wrapText="1"/>
    </xf>
    <xf numFmtId="0" fontId="19" fillId="5" borderId="33" xfId="34" applyFont="1" applyFill="1" applyBorder="1" applyAlignment="1">
      <alignment horizontal="center" vertical="center" wrapText="1"/>
    </xf>
    <xf numFmtId="0" fontId="19" fillId="2" borderId="40" xfId="34" applyFont="1" applyFill="1" applyBorder="1" applyAlignment="1">
      <alignment horizontal="center" vertical="center" wrapText="1"/>
    </xf>
    <xf numFmtId="0" fontId="19" fillId="2" borderId="2" xfId="34" applyFont="1" applyFill="1" applyBorder="1" applyAlignment="1">
      <alignment horizontal="center" vertical="center" wrapText="1"/>
    </xf>
    <xf numFmtId="0" fontId="19" fillId="2" borderId="9" xfId="34" applyFont="1" applyFill="1" applyBorder="1" applyAlignment="1">
      <alignment horizontal="center" vertical="center" wrapText="1"/>
    </xf>
    <xf numFmtId="0" fontId="19" fillId="2" borderId="48" xfId="34" applyFont="1" applyFill="1" applyBorder="1" applyAlignment="1">
      <alignment horizontal="center" vertical="center" wrapText="1"/>
    </xf>
    <xf numFmtId="0" fontId="19" fillId="2" borderId="49" xfId="34" applyFont="1" applyFill="1" applyBorder="1" applyAlignment="1">
      <alignment horizontal="center" vertical="center" wrapText="1"/>
    </xf>
    <xf numFmtId="0" fontId="19" fillId="2" borderId="25" xfId="34" applyFont="1" applyFill="1" applyBorder="1" applyAlignment="1">
      <alignment horizontal="center" vertical="center" wrapText="1"/>
    </xf>
    <xf numFmtId="0" fontId="19" fillId="2" borderId="19" xfId="34" applyFont="1" applyFill="1" applyBorder="1" applyAlignment="1">
      <alignment horizontal="center" vertical="center" wrapText="1"/>
    </xf>
    <xf numFmtId="0" fontId="18" fillId="0" borderId="33" xfId="34" applyFont="1" applyBorder="1" applyAlignment="1">
      <alignment horizontal="left" vertical="center" wrapText="1"/>
    </xf>
    <xf numFmtId="0" fontId="11" fillId="5" borderId="35" xfId="32" applyFont="1" applyFill="1" applyBorder="1" applyAlignment="1">
      <alignment horizontal="center" vertical="center" wrapText="1"/>
    </xf>
    <xf numFmtId="0" fontId="11" fillId="5" borderId="46" xfId="32" applyFont="1" applyFill="1" applyBorder="1" applyAlignment="1">
      <alignment horizontal="center" vertical="center" wrapText="1"/>
    </xf>
    <xf numFmtId="0" fontId="11" fillId="0" borderId="0" xfId="32" applyFont="1" applyAlignment="1">
      <alignment horizontal="center"/>
    </xf>
    <xf numFmtId="0" fontId="10" fillId="0" borderId="0" xfId="32" applyAlignment="1">
      <alignment horizontal="center"/>
    </xf>
    <xf numFmtId="0" fontId="11" fillId="0" borderId="35" xfId="32" applyFont="1" applyBorder="1" applyAlignment="1">
      <alignment horizontal="center" vertical="center" wrapText="1"/>
    </xf>
    <xf numFmtId="0" fontId="11" fillId="0" borderId="46" xfId="32" applyFont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distributed"/>
    </xf>
    <xf numFmtId="0" fontId="7" fillId="4" borderId="24" xfId="0" applyFont="1" applyFill="1" applyBorder="1" applyAlignment="1">
      <alignment horizontal="center" vertical="center" wrapText="1"/>
    </xf>
    <xf numFmtId="0" fontId="0" fillId="4" borderId="61" xfId="0" applyFill="1" applyBorder="1" applyAlignment="1">
      <alignment vertical="center" wrapText="1"/>
    </xf>
    <xf numFmtId="0" fontId="0" fillId="4" borderId="62" xfId="0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top" wrapText="1"/>
    </xf>
    <xf numFmtId="0" fontId="0" fillId="4" borderId="0" xfId="0" applyFill="1" applyBorder="1"/>
    <xf numFmtId="0" fontId="7" fillId="4" borderId="0" xfId="0" applyFont="1" applyFill="1" applyAlignment="1">
      <alignment horizontal="center" vertical="top" wrapText="1"/>
    </xf>
    <xf numFmtId="0" fontId="0" fillId="4" borderId="0" xfId="0" applyFill="1"/>
    <xf numFmtId="0" fontId="7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0" fontId="10" fillId="0" borderId="60" xfId="24" applyBorder="1" applyAlignment="1">
      <alignment horizontal="center"/>
    </xf>
    <xf numFmtId="0" fontId="10" fillId="0" borderId="63" xfId="24" applyBorder="1" applyAlignment="1">
      <alignment horizontal="center" vertical="distributed"/>
    </xf>
    <xf numFmtId="0" fontId="10" fillId="0" borderId="2" xfId="24" applyBorder="1" applyAlignment="1">
      <alignment horizontal="center" vertical="distributed"/>
    </xf>
    <xf numFmtId="3" fontId="10" fillId="0" borderId="63" xfId="24" applyNumberFormat="1" applyBorder="1" applyAlignment="1">
      <alignment horizontal="center" vertical="center"/>
    </xf>
    <xf numFmtId="3" fontId="10" fillId="0" borderId="2" xfId="24" applyNumberFormat="1" applyBorder="1" applyAlignment="1">
      <alignment horizontal="center" vertical="center"/>
    </xf>
    <xf numFmtId="0" fontId="10" fillId="0" borderId="63" xfId="24" applyFont="1" applyBorder="1" applyAlignment="1">
      <alignment horizontal="center"/>
    </xf>
    <xf numFmtId="0" fontId="10" fillId="0" borderId="5" xfId="24" applyFont="1" applyBorder="1" applyAlignment="1">
      <alignment horizontal="center"/>
    </xf>
    <xf numFmtId="0" fontId="10" fillId="0" borderId="2" xfId="24" applyFont="1" applyBorder="1" applyAlignment="1">
      <alignment horizontal="center"/>
    </xf>
    <xf numFmtId="0" fontId="10" fillId="0" borderId="5" xfId="24" applyBorder="1" applyAlignment="1">
      <alignment horizontal="center" vertical="distributed"/>
    </xf>
    <xf numFmtId="3" fontId="10" fillId="0" borderId="5" xfId="24" applyNumberFormat="1" applyBorder="1" applyAlignment="1">
      <alignment horizontal="center" vertical="center"/>
    </xf>
    <xf numFmtId="3" fontId="10" fillId="0" borderId="63" xfId="24" applyNumberFormat="1" applyBorder="1" applyAlignment="1">
      <alignment horizontal="right"/>
    </xf>
    <xf numFmtId="3" fontId="10" fillId="0" borderId="5" xfId="24" applyNumberFormat="1" applyBorder="1" applyAlignment="1">
      <alignment horizontal="right"/>
    </xf>
    <xf numFmtId="3" fontId="10" fillId="0" borderId="2" xfId="24" applyNumberFormat="1" applyBorder="1" applyAlignment="1">
      <alignment horizontal="right"/>
    </xf>
    <xf numFmtId="0" fontId="10" fillId="0" borderId="60" xfId="24" applyFont="1" applyBorder="1" applyAlignment="1">
      <alignment horizontal="center"/>
    </xf>
    <xf numFmtId="3" fontId="10" fillId="0" borderId="60" xfId="24" applyNumberFormat="1" applyBorder="1" applyAlignment="1">
      <alignment horizontal="center" vertical="center"/>
    </xf>
    <xf numFmtId="3" fontId="10" fillId="0" borderId="60" xfId="24" applyNumberFormat="1" applyBorder="1" applyAlignment="1">
      <alignment horizontal="right"/>
    </xf>
    <xf numFmtId="0" fontId="10" fillId="0" borderId="63" xfId="24" applyFont="1" applyBorder="1" applyAlignment="1">
      <alignment horizontal="center" vertical="center"/>
    </xf>
    <xf numFmtId="0" fontId="10" fillId="0" borderId="5" xfId="24" applyFont="1" applyBorder="1" applyAlignment="1">
      <alignment horizontal="center" vertical="center"/>
    </xf>
    <xf numFmtId="0" fontId="10" fillId="0" borderId="2" xfId="24" applyFont="1" applyBorder="1" applyAlignment="1">
      <alignment horizontal="center" vertical="center"/>
    </xf>
    <xf numFmtId="0" fontId="10" fillId="0" borderId="63" xfId="24" applyFont="1" applyBorder="1" applyAlignment="1">
      <alignment horizontal="center" vertical="distributed"/>
    </xf>
    <xf numFmtId="0" fontId="10" fillId="0" borderId="2" xfId="24" applyFont="1" applyBorder="1" applyAlignment="1">
      <alignment horizontal="center" vertical="distributed"/>
    </xf>
    <xf numFmtId="0" fontId="10" fillId="0" borderId="63" xfId="24" applyBorder="1" applyAlignment="1">
      <alignment horizontal="left" vertical="distributed"/>
    </xf>
    <xf numFmtId="0" fontId="10" fillId="0" borderId="2" xfId="24" applyBorder="1" applyAlignment="1">
      <alignment horizontal="left" vertical="distributed"/>
    </xf>
    <xf numFmtId="3" fontId="10" fillId="0" borderId="63" xfId="24" applyNumberFormat="1" applyBorder="1" applyAlignment="1">
      <alignment horizontal="center"/>
    </xf>
    <xf numFmtId="3" fontId="10" fillId="0" borderId="2" xfId="24" applyNumberFormat="1" applyBorder="1" applyAlignment="1">
      <alignment horizontal="center"/>
    </xf>
    <xf numFmtId="0" fontId="10" fillId="0" borderId="5" xfId="24" applyFont="1" applyBorder="1" applyAlignment="1">
      <alignment horizontal="center" vertical="distributed"/>
    </xf>
    <xf numFmtId="3" fontId="10" fillId="0" borderId="5" xfId="24" applyNumberFormat="1" applyBorder="1" applyAlignment="1">
      <alignment horizontal="center"/>
    </xf>
    <xf numFmtId="0" fontId="10" fillId="0" borderId="63" xfId="24" applyFont="1" applyBorder="1" applyAlignment="1">
      <alignment horizontal="center" vertical="center" wrapText="1"/>
    </xf>
    <xf numFmtId="0" fontId="10" fillId="0" borderId="5" xfId="24" applyBorder="1" applyAlignment="1">
      <alignment horizontal="center" vertical="center" wrapText="1"/>
    </xf>
    <xf numFmtId="0" fontId="7" fillId="0" borderId="0" xfId="24" applyFont="1" applyAlignment="1">
      <alignment horizontal="center"/>
    </xf>
    <xf numFmtId="0" fontId="10" fillId="0" borderId="0" xfId="24" applyAlignment="1">
      <alignment horizontal="center"/>
    </xf>
    <xf numFmtId="0" fontId="29" fillId="0" borderId="60" xfId="24" applyFont="1" applyBorder="1" applyAlignment="1">
      <alignment horizontal="center" vertical="distributed"/>
    </xf>
    <xf numFmtId="0" fontId="29" fillId="0" borderId="63" xfId="24" applyFont="1" applyBorder="1" applyAlignment="1">
      <alignment horizontal="center"/>
    </xf>
    <xf numFmtId="0" fontId="29" fillId="0" borderId="2" xfId="24" applyFont="1" applyBorder="1" applyAlignment="1">
      <alignment horizontal="center"/>
    </xf>
    <xf numFmtId="0" fontId="29" fillId="0" borderId="60" xfId="24" applyFont="1" applyBorder="1" applyAlignment="1">
      <alignment horizontal="center"/>
    </xf>
    <xf numFmtId="0" fontId="29" fillId="0" borderId="60" xfId="24" applyFont="1" applyBorder="1" applyAlignment="1">
      <alignment horizontal="center" wrapText="1"/>
    </xf>
    <xf numFmtId="3" fontId="10" fillId="0" borderId="63" xfId="24" applyNumberFormat="1" applyFont="1" applyBorder="1" applyAlignment="1">
      <alignment horizontal="center" vertical="center"/>
    </xf>
    <xf numFmtId="3" fontId="10" fillId="0" borderId="5" xfId="24" applyNumberFormat="1" applyFont="1" applyBorder="1" applyAlignment="1">
      <alignment horizontal="center" vertical="center"/>
    </xf>
    <xf numFmtId="3" fontId="10" fillId="0" borderId="2" xfId="24" applyNumberFormat="1" applyFont="1" applyBorder="1" applyAlignment="1">
      <alignment horizontal="center" vertical="center"/>
    </xf>
    <xf numFmtId="0" fontId="10" fillId="0" borderId="63" xfId="31" applyFont="1" applyBorder="1" applyAlignment="1">
      <alignment horizontal="center" vertical="center"/>
    </xf>
    <xf numFmtId="0" fontId="10" fillId="0" borderId="5" xfId="31" applyFont="1" applyBorder="1" applyAlignment="1">
      <alignment horizontal="center" vertical="center"/>
    </xf>
    <xf numFmtId="0" fontId="10" fillId="0" borderId="2" xfId="31" applyFont="1" applyBorder="1" applyAlignment="1">
      <alignment horizontal="center" vertical="center"/>
    </xf>
    <xf numFmtId="0" fontId="12" fillId="0" borderId="63" xfId="31" applyFont="1" applyBorder="1" applyAlignment="1">
      <alignment horizontal="center" vertical="center" wrapText="1"/>
    </xf>
    <xf numFmtId="0" fontId="12" fillId="0" borderId="5" xfId="31" applyFont="1" applyBorder="1" applyAlignment="1">
      <alignment horizontal="center" vertical="center" wrapText="1"/>
    </xf>
    <xf numFmtId="0" fontId="12" fillId="0" borderId="2" xfId="31" applyFont="1" applyBorder="1" applyAlignment="1">
      <alignment horizontal="center" vertical="center" wrapText="1"/>
    </xf>
    <xf numFmtId="3" fontId="12" fillId="0" borderId="60" xfId="31" applyNumberFormat="1" applyFont="1" applyBorder="1" applyAlignment="1">
      <alignment horizontal="center"/>
    </xf>
    <xf numFmtId="3" fontId="12" fillId="0" borderId="60" xfId="31" applyNumberFormat="1" applyFont="1" applyBorder="1" applyAlignment="1">
      <alignment horizontal="right"/>
    </xf>
    <xf numFmtId="3" fontId="12" fillId="0" borderId="63" xfId="31" applyNumberFormat="1" applyFont="1" applyBorder="1" applyAlignment="1">
      <alignment horizontal="center"/>
    </xf>
    <xf numFmtId="3" fontId="12" fillId="0" borderId="5" xfId="31" applyNumberFormat="1" applyFont="1" applyBorder="1" applyAlignment="1">
      <alignment horizontal="center"/>
    </xf>
    <xf numFmtId="3" fontId="12" fillId="0" borderId="2" xfId="31" applyNumberFormat="1" applyFont="1" applyBorder="1" applyAlignment="1">
      <alignment horizontal="center"/>
    </xf>
    <xf numFmtId="3" fontId="12" fillId="0" borderId="63" xfId="31" applyNumberFormat="1" applyFont="1" applyBorder="1" applyAlignment="1">
      <alignment horizontal="right"/>
    </xf>
    <xf numFmtId="3" fontId="12" fillId="0" borderId="5" xfId="31" applyNumberFormat="1" applyFont="1" applyBorder="1" applyAlignment="1">
      <alignment horizontal="right"/>
    </xf>
    <xf numFmtId="3" fontId="12" fillId="0" borderId="2" xfId="31" applyNumberFormat="1" applyFont="1" applyBorder="1" applyAlignment="1">
      <alignment horizontal="right"/>
    </xf>
    <xf numFmtId="0" fontId="10" fillId="0" borderId="60" xfId="31" applyFont="1" applyBorder="1" applyAlignment="1">
      <alignment horizontal="center" vertical="center"/>
    </xf>
    <xf numFmtId="0" fontId="10" fillId="0" borderId="60" xfId="31" applyBorder="1" applyAlignment="1">
      <alignment horizontal="center" vertical="center"/>
    </xf>
    <xf numFmtId="0" fontId="12" fillId="0" borderId="60" xfId="31" applyFont="1" applyBorder="1" applyAlignment="1">
      <alignment horizontal="center" vertical="distributed"/>
    </xf>
    <xf numFmtId="0" fontId="10" fillId="0" borderId="5" xfId="31" applyBorder="1" applyAlignment="1">
      <alignment horizontal="center" vertical="center"/>
    </xf>
    <xf numFmtId="3" fontId="12" fillId="0" borderId="63" xfId="31" applyNumberFormat="1" applyFont="1" applyBorder="1" applyAlignment="1">
      <alignment horizontal="center" vertical="center"/>
    </xf>
    <xf numFmtId="3" fontId="12" fillId="0" borderId="5" xfId="31" applyNumberFormat="1" applyFont="1" applyBorder="1" applyAlignment="1">
      <alignment horizontal="center" vertical="center"/>
    </xf>
    <xf numFmtId="0" fontId="12" fillId="0" borderId="63" xfId="31" applyFont="1" applyBorder="1" applyAlignment="1">
      <alignment horizontal="center" vertical="distributed"/>
    </xf>
    <xf numFmtId="0" fontId="12" fillId="0" borderId="5" xfId="31" applyFont="1" applyBorder="1" applyAlignment="1">
      <alignment horizontal="center" vertical="distributed"/>
    </xf>
    <xf numFmtId="0" fontId="10" fillId="0" borderId="63" xfId="31" applyBorder="1" applyAlignment="1">
      <alignment horizontal="center" vertical="center"/>
    </xf>
    <xf numFmtId="0" fontId="11" fillId="0" borderId="64" xfId="31" applyFont="1" applyBorder="1" applyAlignment="1">
      <alignment horizontal="center" vertical="distributed"/>
    </xf>
    <xf numFmtId="0" fontId="11" fillId="0" borderId="65" xfId="31" applyFont="1" applyBorder="1" applyAlignment="1">
      <alignment horizontal="center" vertical="distributed"/>
    </xf>
    <xf numFmtId="0" fontId="11" fillId="0" borderId="66" xfId="31" applyFont="1" applyBorder="1" applyAlignment="1">
      <alignment horizontal="center" vertical="distributed"/>
    </xf>
    <xf numFmtId="0" fontId="7" fillId="0" borderId="0" xfId="31" applyFont="1" applyAlignment="1">
      <alignment horizontal="center"/>
    </xf>
    <xf numFmtId="0" fontId="10" fillId="0" borderId="0" xfId="31" applyFont="1" applyAlignment="1">
      <alignment horizontal="center"/>
    </xf>
    <xf numFmtId="0" fontId="10" fillId="0" borderId="0" xfId="31" applyAlignment="1">
      <alignment horizontal="center"/>
    </xf>
    <xf numFmtId="0" fontId="11" fillId="0" borderId="60" xfId="31" applyFont="1" applyBorder="1" applyAlignment="1">
      <alignment horizontal="center" vertical="distributed"/>
    </xf>
    <xf numFmtId="0" fontId="11" fillId="0" borderId="63" xfId="31" applyFont="1" applyBorder="1" applyAlignment="1">
      <alignment horizontal="center"/>
    </xf>
    <xf numFmtId="0" fontId="11" fillId="0" borderId="2" xfId="31" applyFont="1" applyBorder="1" applyAlignment="1">
      <alignment horizontal="center"/>
    </xf>
    <xf numFmtId="0" fontId="11" fillId="0" borderId="60" xfId="31" applyFont="1" applyBorder="1" applyAlignment="1">
      <alignment horizontal="center" wrapText="1"/>
    </xf>
    <xf numFmtId="3" fontId="12" fillId="0" borderId="2" xfId="31" applyNumberFormat="1" applyFont="1" applyBorder="1" applyAlignment="1">
      <alignment horizontal="center" vertical="center"/>
    </xf>
  </cellXfs>
  <cellStyles count="38">
    <cellStyle name="1. jelölőszín" xfId="16"/>
    <cellStyle name="2. jelölőszín" xfId="17"/>
    <cellStyle name="3. jelölőszín" xfId="18"/>
    <cellStyle name="4. jelölőszín" xfId="19"/>
    <cellStyle name="5. jelölőszín" xfId="20"/>
    <cellStyle name="6. jelölőszín" xfId="21"/>
    <cellStyle name="Normál" xfId="0" builtinId="0"/>
    <cellStyle name="Normál 15" xfId="22"/>
    <cellStyle name="Normál 2" xfId="12"/>
    <cellStyle name="Normál 2 2" xfId="23"/>
    <cellStyle name="Normál 2 3" xfId="24"/>
    <cellStyle name="Normál 2_2013. mellékletek-1" xfId="25"/>
    <cellStyle name="Normál 3" xfId="26"/>
    <cellStyle name="Normál 4" xfId="27"/>
    <cellStyle name="Normál 5" xfId="28"/>
    <cellStyle name="Normál 5 2" xfId="29"/>
    <cellStyle name="Normál 6" xfId="30"/>
    <cellStyle name="Normál 7" xfId="31"/>
    <cellStyle name="Normál 8" xfId="36"/>
    <cellStyle name="Normál_  3   _2010.évi állami" xfId="1"/>
    <cellStyle name="Normál_10szm" xfId="2"/>
    <cellStyle name="Normál_13. mell. helyett" xfId="14"/>
    <cellStyle name="Normál_1szm" xfId="3"/>
    <cellStyle name="Normál_2004.évi normatívák" xfId="4"/>
    <cellStyle name="Normál_2010.évi tervezett beruházás, felújítás" xfId="5"/>
    <cellStyle name="Normál_3aszm" xfId="6"/>
    <cellStyle name="Normál_5szm" xfId="7"/>
    <cellStyle name="Normál_6szm" xfId="8"/>
    <cellStyle name="Normál_7szm" xfId="35"/>
    <cellStyle name="Normál_8szm" xfId="9"/>
    <cellStyle name="Normál_Et. adósságkezelés 2012.02.09" xfId="32"/>
    <cellStyle name="Normal_KARSZJ3" xfId="33"/>
    <cellStyle name="Normál_költségvetés módosítás I." xfId="10"/>
    <cellStyle name="Normal_KTRSZJ" xfId="37"/>
    <cellStyle name="Normál_pe.átadások, támogatások 2003.évben" xfId="11"/>
    <cellStyle name="Normál_pénzmaradvány" xfId="15"/>
    <cellStyle name="Normál_Xl0000018" xfId="34"/>
    <cellStyle name="Pénznem 2" xfId="13"/>
  </cellStyles>
  <dxfs count="2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csis_laszlone.Zalakaros/Desktop/Zalakaros%20V&#225;ros%20&#214;nkorm&#225;nyzata/2018.%20&#233;v/K&#246;lts&#233;gvet&#233;s%20&#233;s%20m&#243;dos&#237;t&#225;sai/2018.%20&#233;vi%20k&#246;lts&#233;gvet&#233;s%20I.%20m&#243;dos&#237;t&#225;s/2018.&#233;vi%20kv.%20I.%20m&#243;dos&#237;t&#225;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ivatal/_kozos/K&#233;pvisel&#337;test&#252;leti%20el&#337;terjeszt&#233;sek/2019.%20ZALAKAROS/2019.%20m&#225;jus%2016/2018.%20&#233;vi%20z&#225;rsz&#225;mad&#225;s/Zalakaros%20V&#225;ros%20&#214;nkorm&#225;nyzata/2018.%20&#233;v/K&#246;lts&#233;gvet&#233;s%20&#233;s%20m&#243;dos&#237;t&#225;sai/2018.%20&#233;vi%20k&#246;lts&#233;gvet&#233;s%20III.%20m&#243;dos&#237;t&#225;sa/m&#243;dosit&#225;s%20el&#337;k&#233;szit&#233;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ivatal/_kozos/K&#233;pvisel&#337;test&#252;leti%20el&#337;terjeszt&#233;sek/2019.%20ZALAKAROS/2019.%20m&#225;rcius%2014/2018.%20&#233;vi%20k&#246;lts&#233;gvet&#233;s%20m&#243;dos&#237;t&#225;sa/2018.&#233;vi%20kv.%20III.%20m&#243;dos&#237;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.számú melléklet "/>
      <sheetName val="1.a számú melléklet "/>
      <sheetName val="2. számú melléklet  "/>
      <sheetName val="3.számú melléklet"/>
      <sheetName val="3.a.számú melléklet"/>
      <sheetName val="4.számú melléklet"/>
      <sheetName val="4.a.számú melléklet"/>
      <sheetName val="4.b.számú melléklet  "/>
      <sheetName val="4.c. számú melléklet "/>
      <sheetName val="5.számú melléklet "/>
      <sheetName val="6.számú melléklet  "/>
      <sheetName val="7.számú melléklet "/>
      <sheetName val="8.számú melléklet "/>
      <sheetName val="9.számú melléklet "/>
      <sheetName val="10.számú melléklet "/>
      <sheetName val="11.számú melléklet "/>
      <sheetName val="12. sz. intézmény finanszirozás"/>
    </sheetNames>
    <sheetDataSet>
      <sheetData sheetId="0"/>
      <sheetData sheetId="1">
        <row r="25">
          <cell r="J25">
            <v>253044355</v>
          </cell>
        </row>
        <row r="32">
          <cell r="J32">
            <v>49337467</v>
          </cell>
        </row>
        <row r="48">
          <cell r="J48">
            <v>66550303</v>
          </cell>
        </row>
        <row r="52">
          <cell r="J52">
            <v>3333169</v>
          </cell>
        </row>
        <row r="57">
          <cell r="J57">
            <v>2624480</v>
          </cell>
        </row>
        <row r="59">
          <cell r="J59">
            <v>1102420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módosítás"/>
      <sheetName val="II.módosítás"/>
      <sheetName val="III.módosítás"/>
    </sheetNames>
    <sheetDataSet>
      <sheetData sheetId="0"/>
      <sheetData sheetId="1"/>
      <sheetData sheetId="2">
        <row r="9">
          <cell r="AH9">
            <v>74858</v>
          </cell>
          <cell r="AI9">
            <v>14597</v>
          </cell>
        </row>
        <row r="10">
          <cell r="AH10">
            <v>55492</v>
          </cell>
          <cell r="AI10">
            <v>10821</v>
          </cell>
        </row>
        <row r="11">
          <cell r="AI11">
            <v>14374</v>
          </cell>
        </row>
        <row r="12">
          <cell r="AM12">
            <v>268331</v>
          </cell>
        </row>
        <row r="13">
          <cell r="AH13">
            <v>405597</v>
          </cell>
          <cell r="AI13">
            <v>79092</v>
          </cell>
        </row>
        <row r="14">
          <cell r="AI14">
            <v>16871</v>
          </cell>
        </row>
        <row r="15">
          <cell r="AM15">
            <v>813206</v>
          </cell>
        </row>
        <row r="16">
          <cell r="AH16">
            <v>182461</v>
          </cell>
          <cell r="AI16">
            <v>35580</v>
          </cell>
        </row>
        <row r="17">
          <cell r="AI17">
            <v>-48073</v>
          </cell>
        </row>
        <row r="19">
          <cell r="AI19">
            <v>59982</v>
          </cell>
        </row>
        <row r="24">
          <cell r="AK24">
            <v>130000</v>
          </cell>
        </row>
        <row r="25">
          <cell r="AR25">
            <v>65000</v>
          </cell>
        </row>
        <row r="26">
          <cell r="AX26">
            <v>9852</v>
          </cell>
        </row>
        <row r="27">
          <cell r="AR27">
            <v>86944</v>
          </cell>
        </row>
        <row r="28">
          <cell r="AR28">
            <v>-1511790</v>
          </cell>
          <cell r="AS28">
            <v>1511790</v>
          </cell>
        </row>
        <row r="29">
          <cell r="AM29">
            <v>3556715</v>
          </cell>
        </row>
        <row r="31">
          <cell r="AR31">
            <v>-174038</v>
          </cell>
          <cell r="AS31">
            <v>174038</v>
          </cell>
        </row>
        <row r="32">
          <cell r="AR32">
            <v>-150572</v>
          </cell>
          <cell r="AS32">
            <v>150572</v>
          </cell>
        </row>
        <row r="33">
          <cell r="AR33">
            <v>-195892</v>
          </cell>
          <cell r="AS33">
            <v>260634</v>
          </cell>
        </row>
        <row r="34">
          <cell r="AN34">
            <v>1216000</v>
          </cell>
        </row>
        <row r="35">
          <cell r="AH35">
            <v>-1051000</v>
          </cell>
        </row>
        <row r="37">
          <cell r="AH37">
            <v>-1540000</v>
          </cell>
        </row>
        <row r="38">
          <cell r="AH38">
            <v>-5337000</v>
          </cell>
          <cell r="AI38">
            <v>-990000</v>
          </cell>
        </row>
        <row r="39">
          <cell r="AH39">
            <v>3400000</v>
          </cell>
          <cell r="AI39">
            <v>663000</v>
          </cell>
        </row>
        <row r="40">
          <cell r="AI40">
            <v>585000</v>
          </cell>
        </row>
        <row r="41">
          <cell r="AH41">
            <v>475000</v>
          </cell>
          <cell r="AI41">
            <v>92625</v>
          </cell>
        </row>
        <row r="42">
          <cell r="AH42">
            <v>623000</v>
          </cell>
          <cell r="AI42">
            <v>121485</v>
          </cell>
        </row>
        <row r="43">
          <cell r="AI43">
            <v>33150</v>
          </cell>
        </row>
        <row r="46">
          <cell r="AU46">
            <v>-179253</v>
          </cell>
        </row>
        <row r="47">
          <cell r="AN47">
            <v>-366100</v>
          </cell>
        </row>
        <row r="51">
          <cell r="K51">
            <v>3556715</v>
          </cell>
        </row>
        <row r="52">
          <cell r="K52">
            <v>247366</v>
          </cell>
        </row>
        <row r="53">
          <cell r="W53">
            <v>17000</v>
          </cell>
        </row>
        <row r="55">
          <cell r="V55">
            <v>123173</v>
          </cell>
        </row>
        <row r="56">
          <cell r="AH56">
            <v>2474471</v>
          </cell>
          <cell r="AI56">
            <v>-3635</v>
          </cell>
          <cell r="AJ56">
            <v>1117428</v>
          </cell>
          <cell r="AR56">
            <v>430990</v>
          </cell>
        </row>
        <row r="58">
          <cell r="V58">
            <v>2956782</v>
          </cell>
        </row>
        <row r="59">
          <cell r="AH59">
            <v>3938464</v>
          </cell>
          <cell r="AI59">
            <v>509337</v>
          </cell>
        </row>
        <row r="60">
          <cell r="V60">
            <v>5553294</v>
          </cell>
          <cell r="AI60">
            <v>-501457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.számú melléklet "/>
      <sheetName val="1.a számú melléklet "/>
      <sheetName val="2. számú melléklet  "/>
      <sheetName val="3.számú melléklet"/>
      <sheetName val="3.a.számú melléklet"/>
      <sheetName val="4.számú melléklet"/>
      <sheetName val="4.a.számú melléklet"/>
      <sheetName val="4.b.számú melléklet  "/>
      <sheetName val="4.c. számú melléklet "/>
      <sheetName val="5.számú melléklet "/>
      <sheetName val="6.számú melléklet  "/>
      <sheetName val="7.számú melléklet "/>
      <sheetName val="8.számú melléklet "/>
      <sheetName val="9.számú melléklet "/>
      <sheetName val="10.számú melléklet "/>
      <sheetName val="11.számú melléklet "/>
      <sheetName val="12. sz. intézmény finansziroz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6">
          <cell r="D36">
            <v>255712508</v>
          </cell>
          <cell r="F36">
            <v>175524789</v>
          </cell>
          <cell r="G36">
            <v>538653284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187"/>
  <sheetViews>
    <sheetView showWhiteSpace="0" view="pageLayout" topLeftCell="B1" zoomScaleNormal="100" zoomScaleSheetLayoutView="100" workbookViewId="0">
      <selection activeCell="H12" sqref="H12"/>
    </sheetView>
  </sheetViews>
  <sheetFormatPr defaultColWidth="9.140625" defaultRowHeight="12.75" x14ac:dyDescent="0.2"/>
  <cols>
    <col min="1" max="1" width="13.140625" style="12" customWidth="1"/>
    <col min="2" max="2" width="71.42578125" style="12" bestFit="1" customWidth="1"/>
    <col min="3" max="3" width="14.7109375" style="12" customWidth="1"/>
    <col min="4" max="4" width="15.42578125" style="12" customWidth="1"/>
    <col min="5" max="5" width="14.28515625" style="12" customWidth="1"/>
    <col min="6" max="6" width="15" style="12" customWidth="1"/>
    <col min="7" max="7" width="14.28515625" style="12" bestFit="1" customWidth="1"/>
    <col min="8" max="8" width="14.85546875" style="12" bestFit="1" customWidth="1"/>
    <col min="9" max="16384" width="9.140625" style="12"/>
  </cols>
  <sheetData>
    <row r="1" spans="1:8" ht="30" customHeight="1" x14ac:dyDescent="0.2">
      <c r="A1" s="816" t="s">
        <v>122</v>
      </c>
      <c r="B1" s="817" t="s">
        <v>15</v>
      </c>
      <c r="C1" s="818" t="s">
        <v>566</v>
      </c>
      <c r="D1" s="818" t="s">
        <v>577</v>
      </c>
      <c r="E1" s="818" t="s">
        <v>641</v>
      </c>
      <c r="F1" s="818" t="s">
        <v>780</v>
      </c>
      <c r="G1" s="818" t="s">
        <v>781</v>
      </c>
      <c r="H1" s="818" t="s">
        <v>782</v>
      </c>
    </row>
    <row r="2" spans="1:8" ht="30" customHeight="1" x14ac:dyDescent="0.2">
      <c r="A2" s="816"/>
      <c r="B2" s="817"/>
      <c r="C2" s="819"/>
      <c r="D2" s="819"/>
      <c r="E2" s="819"/>
      <c r="F2" s="819"/>
      <c r="G2" s="819"/>
      <c r="H2" s="819"/>
    </row>
    <row r="3" spans="1:8" ht="24.95" customHeight="1" x14ac:dyDescent="0.25">
      <c r="A3" s="19" t="s">
        <v>68</v>
      </c>
      <c r="B3" s="42" t="s">
        <v>157</v>
      </c>
      <c r="C3" s="13"/>
      <c r="D3" s="13"/>
      <c r="E3" s="13"/>
      <c r="F3" s="13"/>
      <c r="G3" s="13"/>
      <c r="H3" s="13"/>
    </row>
    <row r="4" spans="1:8" ht="20.100000000000001" customHeight="1" x14ac:dyDescent="0.25">
      <c r="A4" s="19" t="s">
        <v>120</v>
      </c>
      <c r="B4" s="42" t="s">
        <v>229</v>
      </c>
      <c r="C4" s="14"/>
      <c r="D4" s="14"/>
      <c r="E4" s="14"/>
      <c r="F4" s="14"/>
      <c r="G4" s="14"/>
      <c r="H4" s="14"/>
    </row>
    <row r="5" spans="1:8" ht="20.100000000000001" customHeight="1" x14ac:dyDescent="0.25">
      <c r="A5" s="15" t="s">
        <v>126</v>
      </c>
      <c r="B5" s="41" t="s">
        <v>127</v>
      </c>
      <c r="C5" s="14"/>
      <c r="D5" s="14"/>
      <c r="E5" s="14"/>
      <c r="F5" s="14"/>
      <c r="G5" s="14"/>
      <c r="H5" s="14"/>
    </row>
    <row r="6" spans="1:8" ht="20.100000000000001" customHeight="1" x14ac:dyDescent="0.2">
      <c r="A6" s="13" t="s">
        <v>121</v>
      </c>
      <c r="B6" s="91" t="s">
        <v>223</v>
      </c>
      <c r="C6" s="109">
        <f>'3.sz.m.bevételek jogcímenként'!C8</f>
        <v>231216000</v>
      </c>
      <c r="D6" s="109">
        <f>'3.sz.m.bevételek jogcímenként'!D8</f>
        <v>252740697</v>
      </c>
      <c r="E6" s="109">
        <f>'3.sz.m.bevételek jogcímenként'!E8</f>
        <v>253044355</v>
      </c>
      <c r="F6" s="109">
        <f>'3.sz.m.bevételek jogcímenként'!F8</f>
        <v>253044355</v>
      </c>
      <c r="G6" s="109">
        <f>'3.sz.m.bevételek jogcímenként'!G8</f>
        <v>253044355</v>
      </c>
      <c r="H6" s="109">
        <f>'3.sz.m.bevételek jogcímenként'!H8</f>
        <v>253044355</v>
      </c>
    </row>
    <row r="7" spans="1:8" ht="20.100000000000001" customHeight="1" x14ac:dyDescent="0.2">
      <c r="A7" s="13" t="s">
        <v>123</v>
      </c>
      <c r="B7" s="93" t="s">
        <v>224</v>
      </c>
      <c r="C7" s="109">
        <f>'3.sz.m.bevételek jogcímenként'!C9</f>
        <v>48650467</v>
      </c>
      <c r="D7" s="109">
        <f>'3.sz.m.bevételek jogcímenként'!D9</f>
        <v>49337467</v>
      </c>
      <c r="E7" s="109">
        <f>'3.sz.m.bevételek jogcímenként'!E9</f>
        <v>49337467</v>
      </c>
      <c r="F7" s="109">
        <f>'3.sz.m.bevételek jogcímenként'!F9</f>
        <v>49337467</v>
      </c>
      <c r="G7" s="109">
        <f>'3.sz.m.bevételek jogcímenként'!G9</f>
        <v>49355984</v>
      </c>
      <c r="H7" s="109">
        <f>'3.sz.m.bevételek jogcímenként'!H9</f>
        <v>49355984</v>
      </c>
    </row>
    <row r="8" spans="1:8" ht="20.100000000000001" customHeight="1" x14ac:dyDescent="0.2">
      <c r="A8" s="15" t="s">
        <v>124</v>
      </c>
      <c r="B8" s="91" t="s">
        <v>244</v>
      </c>
      <c r="C8" s="109">
        <f>'3.sz.m.bevételek jogcímenként'!C10</f>
        <v>49708348</v>
      </c>
      <c r="D8" s="109">
        <f>'3.sz.m.bevételek jogcímenként'!D10</f>
        <v>64277576</v>
      </c>
      <c r="E8" s="109">
        <f>'3.sz.m.bevételek jogcímenként'!E10</f>
        <v>66550303</v>
      </c>
      <c r="F8" s="109">
        <f>'3.sz.m.bevételek jogcímenként'!F10</f>
        <v>68383226</v>
      </c>
      <c r="G8" s="109">
        <f>'3.sz.m.bevételek jogcímenként'!G10</f>
        <v>70162436</v>
      </c>
      <c r="H8" s="109">
        <f>'3.sz.m.bevételek jogcímenként'!H10</f>
        <v>70162436</v>
      </c>
    </row>
    <row r="9" spans="1:8" ht="20.100000000000001" customHeight="1" x14ac:dyDescent="0.2">
      <c r="A9" s="101" t="s">
        <v>212</v>
      </c>
      <c r="B9" s="91" t="s">
        <v>225</v>
      </c>
      <c r="C9" s="109">
        <f>'3.sz.m.bevételek jogcímenként'!C11</f>
        <v>2815800</v>
      </c>
      <c r="D9" s="109">
        <f>'3.sz.m.bevételek jogcímenként'!D11</f>
        <v>2974180</v>
      </c>
      <c r="E9" s="109">
        <f>'3.sz.m.bevételek jogcímenként'!E11</f>
        <v>3333169</v>
      </c>
      <c r="F9" s="109">
        <f>'3.sz.m.bevételek jogcímenként'!F11</f>
        <v>3623884</v>
      </c>
      <c r="G9" s="109">
        <f>'3.sz.m.bevételek jogcímenként'!G11</f>
        <v>3841925</v>
      </c>
      <c r="H9" s="109">
        <f>'3.sz.m.bevételek jogcímenként'!H11</f>
        <v>3841925</v>
      </c>
    </row>
    <row r="10" spans="1:8" ht="20.100000000000001" customHeight="1" x14ac:dyDescent="0.2">
      <c r="A10" s="15" t="s">
        <v>125</v>
      </c>
      <c r="B10" s="91" t="s">
        <v>226</v>
      </c>
      <c r="C10" s="109">
        <f>'3.sz.m.bevételek jogcímenként'!C12</f>
        <v>0</v>
      </c>
      <c r="D10" s="109">
        <f>'3.sz.m.bevételek jogcímenként'!D12</f>
        <v>0</v>
      </c>
      <c r="E10" s="109">
        <f>'3.sz.m.bevételek jogcímenként'!E12</f>
        <v>2624480</v>
      </c>
      <c r="F10" s="109">
        <f>'3.sz.m.bevételek jogcímenként'!F12</f>
        <v>7380817</v>
      </c>
      <c r="G10" s="109">
        <f>'3.sz.m.bevételek jogcímenként'!G12</f>
        <v>8505002</v>
      </c>
      <c r="H10" s="109">
        <f>'3.sz.m.bevételek jogcímenként'!H12</f>
        <v>8505002</v>
      </c>
    </row>
    <row r="11" spans="1:8" ht="20.100000000000001" customHeight="1" x14ac:dyDescent="0.2">
      <c r="A11" s="101" t="s">
        <v>693</v>
      </c>
      <c r="B11" s="93" t="s">
        <v>694</v>
      </c>
      <c r="C11" s="109">
        <f>'3.sz.m.bevételek jogcímenként'!C13</f>
        <v>0</v>
      </c>
      <c r="D11" s="109">
        <f>'3.sz.m.bevételek jogcímenként'!D13</f>
        <v>0</v>
      </c>
      <c r="E11" s="109">
        <f>'3.sz.m.bevételek jogcímenként'!E13</f>
        <v>1102420</v>
      </c>
      <c r="F11" s="109">
        <f>'3.sz.m.bevételek jogcímenként'!F13</f>
        <v>1102420</v>
      </c>
      <c r="G11" s="109">
        <f>'3.sz.m.bevételek jogcímenként'!G13</f>
        <v>1102420</v>
      </c>
      <c r="H11" s="109">
        <f>'3.sz.m.bevételek jogcímenként'!H13</f>
        <v>1102420</v>
      </c>
    </row>
    <row r="12" spans="1:8" ht="20.100000000000001" customHeight="1" x14ac:dyDescent="0.2">
      <c r="A12" s="101" t="s">
        <v>123</v>
      </c>
      <c r="B12" s="93" t="s">
        <v>518</v>
      </c>
      <c r="C12" s="109">
        <f>'3.sz.m.bevételek jogcímenként'!C15</f>
        <v>0</v>
      </c>
      <c r="D12" s="109">
        <f>'3.sz.m.bevételek jogcímenként'!D15</f>
        <v>0</v>
      </c>
      <c r="E12" s="109">
        <f>'3.sz.m.bevételek jogcímenként'!E15</f>
        <v>10627629</v>
      </c>
      <c r="F12" s="109">
        <f>'3.sz.m.bevételek jogcímenként'!F15</f>
        <v>10627629</v>
      </c>
      <c r="G12" s="109">
        <f>'3.sz.m.bevételek jogcímenként'!G15</f>
        <v>10627629</v>
      </c>
      <c r="H12" s="109">
        <f>'3.sz.m.bevételek jogcímenként'!H15</f>
        <v>10627629</v>
      </c>
    </row>
    <row r="13" spans="1:8" ht="20.100000000000001" customHeight="1" x14ac:dyDescent="0.2">
      <c r="A13" s="15" t="s">
        <v>152</v>
      </c>
      <c r="B13" s="93" t="s">
        <v>227</v>
      </c>
      <c r="C13" s="109">
        <f>'3.sz.m.bevételek jogcímenként'!C29</f>
        <v>17849779</v>
      </c>
      <c r="D13" s="109">
        <f>'3.sz.m.bevételek jogcímenként'!D29+'3.sz.m.bevételek jogcímenként'!D74+'3.sz.m.bevételek jogcímenként'!D91</f>
        <v>74967225</v>
      </c>
      <c r="E13" s="109">
        <f>'3.sz.m.bevételek jogcímenként'!E29+'3.sz.m.bevételek jogcímenként'!E74+'3.sz.m.bevételek jogcímenként'!E91</f>
        <v>80463139</v>
      </c>
      <c r="F13" s="109">
        <f>'3.sz.m.bevételek jogcímenként'!F29+'3.sz.m.bevételek jogcímenként'!F74+'3.sz.m.bevételek jogcímenként'!F91</f>
        <v>89976439</v>
      </c>
      <c r="G13" s="109">
        <f>'3.sz.m.bevételek jogcímenként'!G29+'3.sz.m.bevételek jogcímenként'!G74+'3.sz.m.bevételek jogcímenként'!G91</f>
        <v>143288553</v>
      </c>
      <c r="H13" s="109">
        <f>'3.sz.m.bevételek jogcímenként'!H29+'3.sz.m.bevételek jogcímenként'!H74+'3.sz.m.bevételek jogcímenként'!H91</f>
        <v>140200547</v>
      </c>
    </row>
    <row r="14" spans="1:8" ht="20.100000000000001" customHeight="1" x14ac:dyDescent="0.25">
      <c r="A14" s="150"/>
      <c r="B14" s="151" t="s">
        <v>228</v>
      </c>
      <c r="C14" s="214">
        <f t="shared" ref="C14:D14" si="0">SUM(C6:C13)</f>
        <v>350240394</v>
      </c>
      <c r="D14" s="152">
        <f t="shared" si="0"/>
        <v>444297145</v>
      </c>
      <c r="E14" s="214">
        <f t="shared" ref="E14:H14" si="1">SUM(E6:E13)</f>
        <v>467082962</v>
      </c>
      <c r="F14" s="214">
        <f t="shared" si="1"/>
        <v>483476237</v>
      </c>
      <c r="G14" s="214">
        <f t="shared" si="1"/>
        <v>539928304</v>
      </c>
      <c r="H14" s="214">
        <f t="shared" si="1"/>
        <v>536840298</v>
      </c>
    </row>
    <row r="15" spans="1:8" ht="20.100000000000001" customHeight="1" x14ac:dyDescent="0.25">
      <c r="A15" s="81" t="s">
        <v>128</v>
      </c>
      <c r="B15" s="80" t="s">
        <v>160</v>
      </c>
      <c r="C15" s="111"/>
      <c r="D15" s="111"/>
      <c r="E15" s="111"/>
      <c r="F15" s="111"/>
      <c r="G15" s="111"/>
      <c r="H15" s="111"/>
    </row>
    <row r="16" spans="1:8" ht="20.100000000000001" customHeight="1" x14ac:dyDescent="0.2">
      <c r="A16" s="419" t="s">
        <v>695</v>
      </c>
      <c r="B16" s="420" t="s">
        <v>696</v>
      </c>
      <c r="C16" s="213">
        <f>'3.sz.m.bevételek jogcímenként'!C35</f>
        <v>0</v>
      </c>
      <c r="D16" s="213">
        <f>'3.sz.m.bevételek jogcímenként'!D35</f>
        <v>14258924</v>
      </c>
      <c r="E16" s="213">
        <f>'3.sz.m.bevételek jogcímenként'!E35</f>
        <v>14798239</v>
      </c>
      <c r="F16" s="213">
        <f>'3.sz.m.bevételek jogcímenként'!F35</f>
        <v>14798239</v>
      </c>
      <c r="G16" s="213">
        <f>'3.sz.m.bevételek jogcímenként'!G35</f>
        <v>14798239</v>
      </c>
      <c r="H16" s="213">
        <f>'3.sz.m.bevételek jogcímenként'!H35</f>
        <v>14798239</v>
      </c>
    </row>
    <row r="17" spans="1:8" ht="20.100000000000001" customHeight="1" x14ac:dyDescent="0.2">
      <c r="A17" s="13" t="s">
        <v>158</v>
      </c>
      <c r="B17" s="420" t="s">
        <v>159</v>
      </c>
      <c r="C17" s="215">
        <f>'3.sz.m.bevételek jogcímenként'!C41+'3.sz.m.bevételek jogcímenként'!C96</f>
        <v>0</v>
      </c>
      <c r="D17" s="215">
        <f>'3.sz.m.bevételek jogcímenként'!D41+'3.sz.m.bevételek jogcímenként'!D96</f>
        <v>575350208</v>
      </c>
      <c r="E17" s="215">
        <f>'3.sz.m.bevételek jogcímenként'!E41+'3.sz.m.bevételek jogcímenként'!E96</f>
        <v>576100208</v>
      </c>
      <c r="F17" s="215">
        <f>'3.sz.m.bevételek jogcímenként'!F41+'3.sz.m.bevételek jogcímenként'!F96</f>
        <v>581332184</v>
      </c>
      <c r="G17" s="215">
        <f>'3.sz.m.bevételek jogcímenként'!G41+'3.sz.m.bevételek jogcímenként'!G96</f>
        <v>766983430</v>
      </c>
      <c r="H17" s="215">
        <f>'3.sz.m.bevételek jogcímenként'!H41+'3.sz.m.bevételek jogcímenként'!H96</f>
        <v>646811149</v>
      </c>
    </row>
    <row r="18" spans="1:8" ht="20.100000000000001" customHeight="1" x14ac:dyDescent="0.25">
      <c r="A18" s="153"/>
      <c r="B18" s="154" t="s">
        <v>161</v>
      </c>
      <c r="C18" s="214">
        <f t="shared" ref="C18:D18" si="2">C16+C17</f>
        <v>0</v>
      </c>
      <c r="D18" s="214">
        <f t="shared" si="2"/>
        <v>589609132</v>
      </c>
      <c r="E18" s="214">
        <f t="shared" ref="E18:H18" si="3">E16+E17</f>
        <v>590898447</v>
      </c>
      <c r="F18" s="214">
        <f t="shared" si="3"/>
        <v>596130423</v>
      </c>
      <c r="G18" s="214">
        <f t="shared" si="3"/>
        <v>781781669</v>
      </c>
      <c r="H18" s="214">
        <f t="shared" si="3"/>
        <v>661609388</v>
      </c>
    </row>
    <row r="19" spans="1:8" ht="20.100000000000001" customHeight="1" x14ac:dyDescent="0.25">
      <c r="A19" s="17" t="s">
        <v>129</v>
      </c>
      <c r="B19" s="43" t="s">
        <v>96</v>
      </c>
      <c r="C19" s="111"/>
      <c r="D19" s="111"/>
      <c r="E19" s="111"/>
      <c r="F19" s="111"/>
      <c r="G19" s="111"/>
      <c r="H19" s="111"/>
    </row>
    <row r="20" spans="1:8" ht="20.100000000000001" customHeight="1" x14ac:dyDescent="0.2">
      <c r="A20" s="15" t="s">
        <v>149</v>
      </c>
      <c r="B20" s="93" t="s">
        <v>234</v>
      </c>
      <c r="C20" s="109">
        <f>'3.sz.m.bevételek jogcímenként'!C44+'3.sz.m.bevételek jogcímenként'!C45</f>
        <v>55500000</v>
      </c>
      <c r="D20" s="109">
        <f>'3.sz.m.bevételek jogcímenként'!D44+'3.sz.m.bevételek jogcímenként'!D45</f>
        <v>54000000</v>
      </c>
      <c r="E20" s="109">
        <f>'3.sz.m.bevételek jogcímenként'!E44+'3.sz.m.bevételek jogcímenként'!E45</f>
        <v>54000000</v>
      </c>
      <c r="F20" s="109">
        <f>'3.sz.m.bevételek jogcímenként'!F44+'3.sz.m.bevételek jogcímenként'!F45</f>
        <v>54000000</v>
      </c>
      <c r="G20" s="109">
        <f>'3.sz.m.bevételek jogcímenként'!G44+'3.sz.m.bevételek jogcímenként'!G45</f>
        <v>66013728</v>
      </c>
      <c r="H20" s="109">
        <f>'3.sz.m.bevételek jogcímenként'!H44+'3.sz.m.bevételek jogcímenként'!H45</f>
        <v>66013728</v>
      </c>
    </row>
    <row r="21" spans="1:8" ht="20.100000000000001" customHeight="1" x14ac:dyDescent="0.2">
      <c r="A21" s="15" t="s">
        <v>165</v>
      </c>
      <c r="B21" s="91" t="s">
        <v>230</v>
      </c>
      <c r="C21" s="109">
        <f>'3.sz.m.bevételek jogcímenként'!C47</f>
        <v>145000000</v>
      </c>
      <c r="D21" s="109">
        <f>'3.sz.m.bevételek jogcímenként'!D47</f>
        <v>170000000</v>
      </c>
      <c r="E21" s="109">
        <f>'3.sz.m.bevételek jogcímenként'!E47</f>
        <v>170000000</v>
      </c>
      <c r="F21" s="109">
        <f>'3.sz.m.bevételek jogcímenként'!F47</f>
        <v>170000000</v>
      </c>
      <c r="G21" s="109">
        <f>'3.sz.m.bevételek jogcímenként'!G47</f>
        <v>210238308</v>
      </c>
      <c r="H21" s="109">
        <f>'3.sz.m.bevételek jogcímenként'!H47</f>
        <v>210238308</v>
      </c>
    </row>
    <row r="22" spans="1:8" ht="20.100000000000001" customHeight="1" x14ac:dyDescent="0.2">
      <c r="A22" s="101" t="s">
        <v>231</v>
      </c>
      <c r="B22" s="40" t="s">
        <v>166</v>
      </c>
      <c r="C22" s="109">
        <f>'3.sz.m.bevételek jogcímenként'!C48</f>
        <v>9000000</v>
      </c>
      <c r="D22" s="109">
        <f>'3.sz.m.bevételek jogcímenként'!D48</f>
        <v>9000000</v>
      </c>
      <c r="E22" s="109">
        <f>'3.sz.m.bevételek jogcímenként'!E48</f>
        <v>9000000</v>
      </c>
      <c r="F22" s="109">
        <f>'3.sz.m.bevételek jogcímenként'!F48</f>
        <v>9000000</v>
      </c>
      <c r="G22" s="109">
        <f>'3.sz.m.bevételek jogcímenként'!G48</f>
        <v>11081029</v>
      </c>
      <c r="H22" s="109">
        <f>'3.sz.m.bevételek jogcímenként'!H48</f>
        <v>11081029</v>
      </c>
    </row>
    <row r="23" spans="1:8" ht="20.100000000000001" customHeight="1" x14ac:dyDescent="0.2">
      <c r="A23" s="101" t="s">
        <v>232</v>
      </c>
      <c r="B23" s="91" t="s">
        <v>233</v>
      </c>
      <c r="C23" s="109">
        <f>'3.sz.m.bevételek jogcímenként'!C46</f>
        <v>200000000</v>
      </c>
      <c r="D23" s="109">
        <f>'3.sz.m.bevételek jogcímenként'!D46</f>
        <v>240000000</v>
      </c>
      <c r="E23" s="109">
        <f>'3.sz.m.bevételek jogcímenként'!E46</f>
        <v>240000000</v>
      </c>
      <c r="F23" s="109">
        <f>'3.sz.m.bevételek jogcímenként'!F46</f>
        <v>240000000</v>
      </c>
      <c r="G23" s="109">
        <f>'3.sz.m.bevételek jogcímenként'!G46</f>
        <v>273206415</v>
      </c>
      <c r="H23" s="109">
        <f>'3.sz.m.bevételek jogcímenként'!H46</f>
        <v>273206415</v>
      </c>
    </row>
    <row r="24" spans="1:8" ht="20.100000000000001" customHeight="1" x14ac:dyDescent="0.2">
      <c r="A24" s="15" t="s">
        <v>150</v>
      </c>
      <c r="B24" s="40" t="s">
        <v>151</v>
      </c>
      <c r="C24" s="109">
        <f>'3.sz.m.bevételek jogcímenként'!C49</f>
        <v>500000</v>
      </c>
      <c r="D24" s="109">
        <f>'3.sz.m.bevételek jogcímenként'!D49</f>
        <v>500000</v>
      </c>
      <c r="E24" s="109">
        <f>'3.sz.m.bevételek jogcímenként'!E49</f>
        <v>500000</v>
      </c>
      <c r="F24" s="109">
        <f>'3.sz.m.bevételek jogcímenként'!F49</f>
        <v>500000</v>
      </c>
      <c r="G24" s="109">
        <f>'3.sz.m.bevételek jogcímenként'!G49</f>
        <v>1241049</v>
      </c>
      <c r="H24" s="109">
        <f>'3.sz.m.bevételek jogcímenként'!H49</f>
        <v>1241049</v>
      </c>
    </row>
    <row r="25" spans="1:8" ht="20.100000000000001" customHeight="1" x14ac:dyDescent="0.25">
      <c r="A25" s="150"/>
      <c r="B25" s="155" t="s">
        <v>168</v>
      </c>
      <c r="C25" s="214">
        <f t="shared" ref="C25:D25" si="4">C20+C21+C22+C23+C24</f>
        <v>410000000</v>
      </c>
      <c r="D25" s="152">
        <f t="shared" si="4"/>
        <v>473500000</v>
      </c>
      <c r="E25" s="214">
        <f t="shared" ref="E25:H25" si="5">E20+E21+E22+E23+E24</f>
        <v>473500000</v>
      </c>
      <c r="F25" s="214">
        <f t="shared" si="5"/>
        <v>473500000</v>
      </c>
      <c r="G25" s="214">
        <f t="shared" si="5"/>
        <v>561780529</v>
      </c>
      <c r="H25" s="214">
        <f t="shared" si="5"/>
        <v>561780529</v>
      </c>
    </row>
    <row r="26" spans="1:8" ht="20.100000000000001" customHeight="1" x14ac:dyDescent="0.25">
      <c r="A26" s="156" t="s">
        <v>130</v>
      </c>
      <c r="B26" s="151" t="s">
        <v>41</v>
      </c>
      <c r="C26" s="214">
        <f>'3.sz.m.bevételek jogcímenként'!C51+'3.sz.m.bevételek jogcímenként'!C75+'3.sz.m.bevételek jogcímenként'!C81+'3.sz.m.bevételek jogcímenként'!C97</f>
        <v>129671855</v>
      </c>
      <c r="D26" s="214">
        <f>'3.sz.m.bevételek jogcímenként'!D51+'3.sz.m.bevételek jogcímenként'!D75+'3.sz.m.bevételek jogcímenként'!D81+'3.sz.m.bevételek jogcímenként'!D97</f>
        <v>138395493</v>
      </c>
      <c r="E26" s="214">
        <f>'3.sz.m.bevételek jogcímenként'!E51+'3.sz.m.bevételek jogcímenként'!E75+'3.sz.m.bevételek jogcímenként'!E81+'3.sz.m.bevételek jogcímenként'!E97</f>
        <v>138395493</v>
      </c>
      <c r="F26" s="214">
        <f>'3.sz.m.bevételek jogcímenként'!F51+'3.sz.m.bevételek jogcímenként'!F75+'3.sz.m.bevételek jogcímenként'!F81+'3.sz.m.bevételek jogcímenként'!F97</f>
        <v>139319006</v>
      </c>
      <c r="G26" s="214">
        <f>'3.sz.m.bevételek jogcímenként'!G51+'3.sz.m.bevételek jogcímenként'!G75+'3.sz.m.bevételek jogcímenként'!G81+'3.sz.m.bevételek jogcímenként'!G97</f>
        <v>155753344</v>
      </c>
      <c r="H26" s="214">
        <v>140909279</v>
      </c>
    </row>
    <row r="27" spans="1:8" ht="20.100000000000001" customHeight="1" x14ac:dyDescent="0.25">
      <c r="A27" s="17" t="s">
        <v>131</v>
      </c>
      <c r="B27" s="42" t="s">
        <v>78</v>
      </c>
      <c r="C27" s="112"/>
      <c r="D27" s="112"/>
      <c r="E27" s="112"/>
      <c r="F27" s="112"/>
      <c r="G27" s="112"/>
      <c r="H27" s="112"/>
    </row>
    <row r="28" spans="1:8" ht="20.100000000000001" customHeight="1" x14ac:dyDescent="0.2">
      <c r="A28" s="15" t="s">
        <v>153</v>
      </c>
      <c r="B28" s="40" t="s">
        <v>154</v>
      </c>
      <c r="C28" s="109">
        <f>'3.sz.m.bevételek jogcímenként'!C54</f>
        <v>5000000</v>
      </c>
      <c r="D28" s="109">
        <f>'3.sz.m.bevételek jogcímenként'!D54</f>
        <v>0</v>
      </c>
      <c r="E28" s="109">
        <f>'3.sz.m.bevételek jogcímenként'!E54</f>
        <v>2200000</v>
      </c>
      <c r="F28" s="109">
        <f>'3.sz.m.bevételek jogcímenként'!F54</f>
        <v>2200000</v>
      </c>
      <c r="G28" s="109">
        <f>'3.sz.m.bevételek jogcímenként'!G54</f>
        <v>2200000</v>
      </c>
      <c r="H28" s="109">
        <f>'3.sz.m.bevételek jogcímenként'!H54</f>
        <v>2200000</v>
      </c>
    </row>
    <row r="29" spans="1:8" ht="20.100000000000001" customHeight="1" x14ac:dyDescent="0.2">
      <c r="A29" s="101" t="s">
        <v>235</v>
      </c>
      <c r="B29" s="91" t="s">
        <v>236</v>
      </c>
      <c r="C29" s="109"/>
      <c r="D29" s="109"/>
      <c r="E29" s="109"/>
      <c r="F29" s="109"/>
      <c r="G29" s="109">
        <f>'3.sz.m.bevételek jogcímenként'!G76+'3.sz.m.bevételek jogcímenként'!G82</f>
        <v>117000</v>
      </c>
      <c r="H29" s="109">
        <f>'3.sz.m.bevételek jogcímenként'!H76+'3.sz.m.bevételek jogcímenként'!H82</f>
        <v>117000</v>
      </c>
    </row>
    <row r="30" spans="1:8" ht="20.100000000000001" customHeight="1" x14ac:dyDescent="0.25">
      <c r="A30" s="150"/>
      <c r="B30" s="151" t="s">
        <v>162</v>
      </c>
      <c r="C30" s="214">
        <f t="shared" ref="C30:D30" si="6">SUM(C28:C29)</f>
        <v>5000000</v>
      </c>
      <c r="D30" s="152">
        <f t="shared" si="6"/>
        <v>0</v>
      </c>
      <c r="E30" s="214">
        <f t="shared" ref="E30:H30" si="7">SUM(E28:E29)</f>
        <v>2200000</v>
      </c>
      <c r="F30" s="214">
        <f t="shared" si="7"/>
        <v>2200000</v>
      </c>
      <c r="G30" s="214">
        <f t="shared" si="7"/>
        <v>2317000</v>
      </c>
      <c r="H30" s="214">
        <f t="shared" si="7"/>
        <v>2317000</v>
      </c>
    </row>
    <row r="31" spans="1:8" ht="20.100000000000001" customHeight="1" x14ac:dyDescent="0.25">
      <c r="A31" s="17" t="s">
        <v>132</v>
      </c>
      <c r="B31" s="42" t="s">
        <v>133</v>
      </c>
      <c r="C31" s="110"/>
      <c r="D31" s="110"/>
      <c r="E31" s="110"/>
      <c r="F31" s="110"/>
      <c r="G31" s="110"/>
      <c r="H31" s="110"/>
    </row>
    <row r="32" spans="1:8" ht="20.100000000000001" customHeight="1" x14ac:dyDescent="0.2">
      <c r="A32" s="101" t="s">
        <v>237</v>
      </c>
      <c r="B32" s="91" t="s">
        <v>245</v>
      </c>
      <c r="C32" s="109">
        <f>'3.sz.m.bevételek jogcímenként'!C56</f>
        <v>570000</v>
      </c>
      <c r="D32" s="109">
        <f>'3.sz.m.bevételek jogcímenként'!D56</f>
        <v>370000</v>
      </c>
      <c r="E32" s="109">
        <f>'3.sz.m.bevételek jogcímenként'!E56</f>
        <v>370000</v>
      </c>
      <c r="F32" s="109">
        <f>'3.sz.m.bevételek jogcímenként'!F56</f>
        <v>370000</v>
      </c>
      <c r="G32" s="109">
        <f>'3.sz.m.bevételek jogcímenként'!G56</f>
        <v>1272116</v>
      </c>
      <c r="H32" s="109">
        <f>'3.sz.m.bevételek jogcímenként'!H56</f>
        <v>1272116</v>
      </c>
    </row>
    <row r="33" spans="1:8" ht="20.100000000000001" customHeight="1" x14ac:dyDescent="0.2">
      <c r="A33" s="101" t="s">
        <v>238</v>
      </c>
      <c r="B33" s="91" t="s">
        <v>239</v>
      </c>
      <c r="C33" s="109">
        <v>10000</v>
      </c>
      <c r="D33" s="109">
        <v>0</v>
      </c>
      <c r="E33" s="109">
        <v>0</v>
      </c>
      <c r="F33" s="109">
        <v>0</v>
      </c>
      <c r="G33" s="109">
        <v>0</v>
      </c>
      <c r="H33" s="109">
        <v>0</v>
      </c>
    </row>
    <row r="34" spans="1:8" ht="20.100000000000001" customHeight="1" x14ac:dyDescent="0.25">
      <c r="A34" s="150"/>
      <c r="B34" s="151" t="s">
        <v>163</v>
      </c>
      <c r="C34" s="214">
        <f t="shared" ref="C34:D34" si="8">SUM(C32:C33)</f>
        <v>580000</v>
      </c>
      <c r="D34" s="152">
        <f t="shared" si="8"/>
        <v>370000</v>
      </c>
      <c r="E34" s="214">
        <f t="shared" ref="E34:H34" si="9">SUM(E32:E33)</f>
        <v>370000</v>
      </c>
      <c r="F34" s="214">
        <f t="shared" si="9"/>
        <v>370000</v>
      </c>
      <c r="G34" s="214">
        <f t="shared" si="9"/>
        <v>1272116</v>
      </c>
      <c r="H34" s="214">
        <f t="shared" si="9"/>
        <v>1272116</v>
      </c>
    </row>
    <row r="35" spans="1:8" ht="20.100000000000001" customHeight="1" x14ac:dyDescent="0.25">
      <c r="A35" s="18" t="s">
        <v>134</v>
      </c>
      <c r="B35" s="42" t="s">
        <v>135</v>
      </c>
      <c r="C35" s="110"/>
      <c r="D35" s="110"/>
      <c r="E35" s="110"/>
      <c r="F35" s="110"/>
      <c r="G35" s="110"/>
      <c r="H35" s="110"/>
    </row>
    <row r="36" spans="1:8" ht="20.100000000000001" customHeight="1" x14ac:dyDescent="0.2">
      <c r="A36" s="108" t="s">
        <v>240</v>
      </c>
      <c r="B36" s="93" t="s">
        <v>353</v>
      </c>
      <c r="C36" s="113">
        <f>'3.sz.m.bevételek jogcímenként'!C59</f>
        <v>880000</v>
      </c>
      <c r="D36" s="113">
        <f>'3.sz.m.bevételek jogcímenként'!D59</f>
        <v>705000</v>
      </c>
      <c r="E36" s="113">
        <f>'3.sz.m.bevételek jogcímenként'!E59</f>
        <v>705000</v>
      </c>
      <c r="F36" s="113">
        <f>'3.sz.m.bevételek jogcímenként'!F59</f>
        <v>705000</v>
      </c>
      <c r="G36" s="113">
        <f>'3.sz.m.bevételek jogcímenként'!G59+'3.sz.m.bevételek jogcímenként'!G77</f>
        <v>1230145</v>
      </c>
      <c r="H36" s="113">
        <f>'3.sz.m.bevételek jogcímenként'!H59+'3.sz.m.bevételek jogcímenként'!H77</f>
        <v>1230145</v>
      </c>
    </row>
    <row r="37" spans="1:8" ht="20.100000000000001" customHeight="1" x14ac:dyDescent="0.2">
      <c r="A37" s="108" t="s">
        <v>241</v>
      </c>
      <c r="B37" s="93" t="s">
        <v>242</v>
      </c>
      <c r="C37" s="113">
        <f>'3.sz.m.bevételek jogcímenként'!C60</f>
        <v>509844</v>
      </c>
      <c r="D37" s="113">
        <f>'3.sz.m.bevételek jogcímenként'!D60</f>
        <v>408000</v>
      </c>
      <c r="E37" s="113">
        <f>'3.sz.m.bevételek jogcímenként'!E60</f>
        <v>408000</v>
      </c>
      <c r="F37" s="113">
        <f>'3.sz.m.bevételek jogcímenként'!F60</f>
        <v>408000</v>
      </c>
      <c r="G37" s="113">
        <f>'3.sz.m.bevételek jogcímenként'!G60</f>
        <v>9995067</v>
      </c>
      <c r="H37" s="113">
        <f>'3.sz.m.bevételek jogcímenként'!H60</f>
        <v>9995067</v>
      </c>
    </row>
    <row r="38" spans="1:8" ht="20.100000000000001" customHeight="1" x14ac:dyDescent="0.25">
      <c r="A38" s="157"/>
      <c r="B38" s="151" t="s">
        <v>164</v>
      </c>
      <c r="C38" s="158">
        <f t="shared" ref="C38:D38" si="10">SUM(C36:C37)</f>
        <v>1389844</v>
      </c>
      <c r="D38" s="158">
        <f t="shared" si="10"/>
        <v>1113000</v>
      </c>
      <c r="E38" s="158">
        <f t="shared" ref="E38:H38" si="11">SUM(E36:E37)</f>
        <v>1113000</v>
      </c>
      <c r="F38" s="158">
        <f t="shared" si="11"/>
        <v>1113000</v>
      </c>
      <c r="G38" s="158">
        <f t="shared" si="11"/>
        <v>11225212</v>
      </c>
      <c r="H38" s="158">
        <f t="shared" si="11"/>
        <v>11225212</v>
      </c>
    </row>
    <row r="39" spans="1:8" ht="20.100000000000001" customHeight="1" x14ac:dyDescent="0.25">
      <c r="A39" s="160" t="s">
        <v>136</v>
      </c>
      <c r="B39" s="161" t="s">
        <v>137</v>
      </c>
      <c r="C39" s="162">
        <f t="shared" ref="C39:D39" si="12">C14+C18+C25+C26+C30+C34+C38</f>
        <v>896882093</v>
      </c>
      <c r="D39" s="162">
        <f t="shared" si="12"/>
        <v>1647284770</v>
      </c>
      <c r="E39" s="162">
        <f t="shared" ref="E39:H39" si="13">E14+E18+E25+E26+E30+E34+E38</f>
        <v>1673559902</v>
      </c>
      <c r="F39" s="162">
        <f t="shared" si="13"/>
        <v>1696108666</v>
      </c>
      <c r="G39" s="162">
        <f t="shared" si="13"/>
        <v>2054058174</v>
      </c>
      <c r="H39" s="162">
        <f t="shared" si="13"/>
        <v>1915953822</v>
      </c>
    </row>
    <row r="40" spans="1:8" ht="20.100000000000001" customHeight="1" x14ac:dyDescent="0.25">
      <c r="A40" s="421" t="s">
        <v>519</v>
      </c>
      <c r="B40" s="418" t="s">
        <v>520</v>
      </c>
      <c r="C40" s="352"/>
      <c r="D40" s="352"/>
      <c r="E40" s="352"/>
      <c r="F40" s="352"/>
      <c r="G40" s="352"/>
      <c r="H40" s="352"/>
    </row>
    <row r="41" spans="1:8" ht="20.100000000000001" customHeight="1" x14ac:dyDescent="0.2">
      <c r="A41" s="422" t="s">
        <v>699</v>
      </c>
      <c r="B41" s="423" t="s">
        <v>697</v>
      </c>
      <c r="C41" s="353">
        <f>'3.sz.m.bevételek jogcímenként'!C66</f>
        <v>180000000</v>
      </c>
      <c r="D41" s="353">
        <f>'3.sz.m.bevételek jogcímenként'!D66</f>
        <v>340000000</v>
      </c>
      <c r="E41" s="353">
        <f>'3.sz.m.bevételek jogcímenként'!E66</f>
        <v>340000000</v>
      </c>
      <c r="F41" s="353">
        <f>'3.sz.m.bevételek jogcímenként'!F66</f>
        <v>340000000</v>
      </c>
      <c r="G41" s="353">
        <f>'3.sz.m.bevételek jogcímenként'!G66</f>
        <v>340000000</v>
      </c>
      <c r="H41" s="353">
        <f>'3.sz.m.bevételek jogcímenként'!H66</f>
        <v>340000000</v>
      </c>
    </row>
    <row r="42" spans="1:8" ht="20.100000000000001" customHeight="1" x14ac:dyDescent="0.2">
      <c r="A42" s="422" t="s">
        <v>698</v>
      </c>
      <c r="B42" s="423" t="s">
        <v>700</v>
      </c>
      <c r="C42" s="353">
        <f>'3.sz.m.bevételek jogcímenként'!C64+'3.sz.m.bevételek jogcímenként'!C78+'3.sz.m.bevételek jogcímenként'!C83+'3.sz.m.bevételek jogcímenként'!C98</f>
        <v>51522907</v>
      </c>
      <c r="D42" s="353">
        <f>'3.sz.m.bevételek jogcímenként'!D64+'3.sz.m.bevételek jogcímenként'!D78+'3.sz.m.bevételek jogcímenként'!D98+'3.sz.m.bevételek jogcímenként'!D83</f>
        <v>55813230</v>
      </c>
      <c r="E42" s="353">
        <f>'3.sz.m.bevételek jogcímenként'!E64+'3.sz.m.bevételek jogcímenként'!E78+'3.sz.m.bevételek jogcímenként'!E98+'3.sz.m.bevételek jogcímenként'!E83</f>
        <v>64777566</v>
      </c>
      <c r="F42" s="353">
        <f>'3.sz.m.bevételek jogcímenként'!F64+'3.sz.m.bevételek jogcímenként'!F78+'3.sz.m.bevételek jogcímenként'!F98+'3.sz.m.bevételek jogcímenként'!F83</f>
        <v>64777566</v>
      </c>
      <c r="G42" s="353">
        <f>'3.sz.m.bevételek jogcímenként'!G64+'3.sz.m.bevételek jogcímenként'!G78+'3.sz.m.bevételek jogcímenként'!G98+'3.sz.m.bevételek jogcímenként'!G83</f>
        <v>64777566</v>
      </c>
      <c r="H42" s="353">
        <f>'3.sz.m.bevételek jogcímenként'!H64+'3.sz.m.bevételek jogcímenként'!H78+'3.sz.m.bevételek jogcímenként'!H98+'3.sz.m.bevételek jogcímenként'!H83</f>
        <v>64777566</v>
      </c>
    </row>
    <row r="43" spans="1:8" ht="20.100000000000001" customHeight="1" x14ac:dyDescent="0.2">
      <c r="A43" s="422" t="s">
        <v>801</v>
      </c>
      <c r="B43" s="423" t="s">
        <v>802</v>
      </c>
      <c r="C43" s="353"/>
      <c r="D43" s="353">
        <f>'3.sz.m.bevételek jogcímenként'!D65</f>
        <v>0</v>
      </c>
      <c r="E43" s="353">
        <f>'3.sz.m.bevételek jogcímenként'!E65</f>
        <v>0</v>
      </c>
      <c r="F43" s="353">
        <f>'3.sz.m.bevételek jogcímenként'!F65</f>
        <v>55508</v>
      </c>
      <c r="G43" s="353">
        <f>'3.sz.m.bevételek jogcímenként'!H65</f>
        <v>16407220</v>
      </c>
      <c r="H43" s="353">
        <f>'3.sz.m.bevételek jogcímenként'!H65</f>
        <v>16407220</v>
      </c>
    </row>
    <row r="44" spans="1:8" ht="20.100000000000001" customHeight="1" x14ac:dyDescent="0.25">
      <c r="A44" s="156"/>
      <c r="B44" s="151" t="s">
        <v>701</v>
      </c>
      <c r="C44" s="214">
        <f t="shared" ref="C44:H44" si="14">SUM(C41:C43)</f>
        <v>231522907</v>
      </c>
      <c r="D44" s="214">
        <f t="shared" si="14"/>
        <v>395813230</v>
      </c>
      <c r="E44" s="214">
        <f t="shared" si="14"/>
        <v>404777566</v>
      </c>
      <c r="F44" s="214">
        <f t="shared" si="14"/>
        <v>404833074</v>
      </c>
      <c r="G44" s="214">
        <f t="shared" si="14"/>
        <v>421184786</v>
      </c>
      <c r="H44" s="214">
        <f t="shared" si="14"/>
        <v>421184786</v>
      </c>
    </row>
    <row r="45" spans="1:8" ht="20.100000000000001" customHeight="1" x14ac:dyDescent="0.25">
      <c r="A45" s="812" t="s">
        <v>167</v>
      </c>
      <c r="B45" s="813"/>
      <c r="C45" s="159">
        <f>C39+C44</f>
        <v>1128405000</v>
      </c>
      <c r="D45" s="159">
        <f>D39+D44</f>
        <v>2043098000</v>
      </c>
      <c r="E45" s="159">
        <f t="shared" ref="E45:H45" si="15">E39+E44</f>
        <v>2078337468</v>
      </c>
      <c r="F45" s="159">
        <f t="shared" si="15"/>
        <v>2100941740</v>
      </c>
      <c r="G45" s="159">
        <f t="shared" si="15"/>
        <v>2475242960</v>
      </c>
      <c r="H45" s="159">
        <f t="shared" si="15"/>
        <v>2337138608</v>
      </c>
    </row>
    <row r="46" spans="1:8" ht="25.5" customHeight="1" x14ac:dyDescent="0.2">
      <c r="A46" s="48" t="s">
        <v>169</v>
      </c>
      <c r="B46" s="82" t="s">
        <v>243</v>
      </c>
      <c r="C46" s="246"/>
      <c r="D46" s="246"/>
      <c r="E46" s="246"/>
      <c r="F46" s="246"/>
      <c r="G46" s="246"/>
      <c r="H46" s="246"/>
    </row>
    <row r="47" spans="1:8" ht="17.25" customHeight="1" x14ac:dyDescent="0.2">
      <c r="A47" s="473" t="s">
        <v>640</v>
      </c>
      <c r="B47" s="474" t="s">
        <v>170</v>
      </c>
      <c r="C47" s="475">
        <f>'4.a. sz.m.egyéb műk.kiadás '!C5+'4.a. sz.m.egyéb műk.kiadás '!C48+'4.a. sz.m.egyéb műk.kiadás '!C62+'4.a. sz.m.egyéb műk.kiadás '!C70</f>
        <v>221834921</v>
      </c>
      <c r="D47" s="475">
        <f>'4.a. sz.m.egyéb műk.kiadás '!D5+'4.a. sz.m.egyéb műk.kiadás '!D48+'4.a. sz.m.egyéb műk.kiadás '!D62+'4.a. sz.m.egyéb műk.kiadás '!D70</f>
        <v>237591373</v>
      </c>
      <c r="E47" s="475">
        <f>'4.a. sz.m.egyéb műk.kiadás '!E5+'4.a. sz.m.egyéb műk.kiadás '!E48+'4.a. sz.m.egyéb műk.kiadás '!E62+'4.a. sz.m.egyéb műk.kiadás '!E70</f>
        <v>241328421</v>
      </c>
      <c r="F47" s="475">
        <f>'4.a. sz.m.egyéb műk.kiadás '!F5+'4.a. sz.m.egyéb műk.kiadás '!F48+'4.a. sz.m.egyéb műk.kiadás '!F62+'4.a. sz.m.egyéb műk.kiadás '!F70</f>
        <v>246433262</v>
      </c>
      <c r="G47" s="475">
        <f>'4.a. sz.m.egyéb műk.kiadás '!G5+'4.a. sz.m.egyéb műk.kiadás '!G48+'4.a. sz.m.egyéb műk.kiadás '!G62+'4.a. sz.m.egyéb műk.kiadás '!G70</f>
        <v>252313163</v>
      </c>
      <c r="H47" s="475">
        <f>'4.a. sz.m.egyéb műk.kiadás '!H5+'4.a. sz.m.egyéb műk.kiadás '!H48+'4.a. sz.m.egyéb műk.kiadás '!H62+'4.a. sz.m.egyéb műk.kiadás '!H70</f>
        <v>249846496</v>
      </c>
    </row>
    <row r="48" spans="1:8" ht="20.100000000000001" customHeight="1" x14ac:dyDescent="0.2">
      <c r="A48" s="476" t="s">
        <v>138</v>
      </c>
      <c r="B48" s="474" t="s">
        <v>171</v>
      </c>
      <c r="C48" s="475">
        <f>'4.a. sz.m.egyéb műk.kiadás '!C6+'4.a. sz.m.egyéb műk.kiadás '!C49+'4.a. sz.m.egyéb műk.kiadás '!C63+'4.a. sz.m.egyéb műk.kiadás '!C71</f>
        <v>52720046</v>
      </c>
      <c r="D48" s="475">
        <f>'4.a. sz.m.egyéb műk.kiadás '!D6+'4.a. sz.m.egyéb műk.kiadás '!D49+'4.a. sz.m.egyéb műk.kiadás '!D63+'4.a. sz.m.egyéb műk.kiadás '!D71</f>
        <v>49918348</v>
      </c>
      <c r="E48" s="475">
        <f>'4.a. sz.m.egyéb műk.kiadás '!E6+'4.a. sz.m.egyéb műk.kiadás '!E49+'4.a. sz.m.egyéb műk.kiadás '!E63+'4.a. sz.m.egyéb műk.kiadás '!E71</f>
        <v>50634473</v>
      </c>
      <c r="F48" s="475">
        <f>'4.a. sz.m.egyéb műk.kiadás '!F6+'4.a. sz.m.egyéb műk.kiadás '!F49+'4.a. sz.m.egyéb műk.kiadás '!F63+'4.a. sz.m.egyéb műk.kiadás '!F71</f>
        <v>51824636</v>
      </c>
      <c r="G48" s="475">
        <f>'4.a. sz.m.egyéb műk.kiadás '!G6+'4.a. sz.m.egyéb műk.kiadás '!G49+'4.a. sz.m.egyéb műk.kiadás '!G63+'4.a. sz.m.egyéb műk.kiadás '!G71</f>
        <v>52517385</v>
      </c>
      <c r="H48" s="475">
        <f>'4.a. sz.m.egyéb műk.kiadás '!H6+'4.a. sz.m.egyéb műk.kiadás '!H49+'4.a. sz.m.egyéb műk.kiadás '!H63+'4.a. sz.m.egyéb műk.kiadás '!H71</f>
        <v>51117047</v>
      </c>
    </row>
    <row r="49" spans="1:8" ht="20.100000000000001" customHeight="1" x14ac:dyDescent="0.2">
      <c r="A49" s="478" t="s">
        <v>139</v>
      </c>
      <c r="B49" s="474" t="s">
        <v>140</v>
      </c>
      <c r="C49" s="475">
        <f>'4.a. sz.m.egyéb műk.kiadás '!C7+'4.a. sz.m.egyéb műk.kiadás '!C50+'4.a. sz.m.egyéb műk.kiadás '!C64+'4.a. sz.m.egyéb műk.kiadás '!C72</f>
        <v>411780530</v>
      </c>
      <c r="D49" s="475">
        <f>'4.a. sz.m.egyéb műk.kiadás '!D7+'4.a. sz.m.egyéb műk.kiadás '!D50+'4.a. sz.m.egyéb műk.kiadás '!D64+'4.a. sz.m.egyéb műk.kiadás '!D72</f>
        <v>436600469</v>
      </c>
      <c r="E49" s="475">
        <f>'4.a. sz.m.egyéb műk.kiadás '!E7+'4.a. sz.m.egyéb műk.kiadás '!E50+'4.a. sz.m.egyéb műk.kiadás '!E64+'4.a. sz.m.egyéb műk.kiadás '!E72</f>
        <v>496031874</v>
      </c>
      <c r="F49" s="475">
        <f>'4.a. sz.m.egyéb műk.kiadás '!F7+'4.a. sz.m.egyéb műk.kiadás '!F50+'4.a. sz.m.egyéb műk.kiadás '!F64+'4.a. sz.m.egyéb műk.kiadás '!F72</f>
        <v>507983517</v>
      </c>
      <c r="G49" s="475">
        <f>'4.a. sz.m.egyéb műk.kiadás '!G7+'4.a. sz.m.egyéb műk.kiadás '!G50+'4.a. sz.m.egyéb műk.kiadás '!G64+'4.a. sz.m.egyéb műk.kiadás '!G72</f>
        <v>502066578</v>
      </c>
      <c r="H49" s="475">
        <v>433848022</v>
      </c>
    </row>
    <row r="50" spans="1:8" ht="20.100000000000001" customHeight="1" x14ac:dyDescent="0.2">
      <c r="A50" s="478" t="s">
        <v>141</v>
      </c>
      <c r="B50" s="474" t="s">
        <v>59</v>
      </c>
      <c r="C50" s="475">
        <f>'4.a. sz.m.egyéb műk.kiadás '!C9</f>
        <v>8500000</v>
      </c>
      <c r="D50" s="475">
        <f>'4.a. sz.m.egyéb műk.kiadás '!D9</f>
        <v>7500000</v>
      </c>
      <c r="E50" s="475">
        <f>'4.a. sz.m.egyéb műk.kiadás '!E9</f>
        <v>7500000</v>
      </c>
      <c r="F50" s="475">
        <f>'4.a. sz.m.egyéb műk.kiadás '!F9</f>
        <v>7204420</v>
      </c>
      <c r="G50" s="475">
        <f>'4.a. sz.m.egyéb műk.kiadás '!G9</f>
        <v>7334420</v>
      </c>
      <c r="H50" s="475">
        <f>'4.a. sz.m.egyéb műk.kiadás '!H9</f>
        <v>4727306</v>
      </c>
    </row>
    <row r="51" spans="1:8" ht="20.100000000000001" customHeight="1" x14ac:dyDescent="0.2">
      <c r="A51" s="478" t="s">
        <v>142</v>
      </c>
      <c r="B51" s="474" t="s">
        <v>143</v>
      </c>
      <c r="C51" s="477">
        <f>'4.a. sz.m.egyéb műk.kiadás '!C19+'4.a. sz.m.egyéb műk.kiadás '!C39+'4.a. sz.m.egyéb műk.kiadás '!C42+'4.a. sz.m.egyéb műk.kiadás '!C43+'4.a. sz.m.egyéb műk.kiadás '!C44+'4.a. sz.m.egyéb műk.kiadás '!C54+'4.a. sz.m.egyéb műk.kiadás '!C66+'4.a. sz.m.egyéb műk.kiadás '!C58+'4.a. sz.m.egyéb műk.kiadás '!C78+'4.a. sz.m.egyéb műk.kiadás '!C77</f>
        <v>293104000</v>
      </c>
      <c r="D51" s="477">
        <v>387228916</v>
      </c>
      <c r="E51" s="477">
        <f>'4.a. sz.m.egyéb műk.kiadás '!E19+'4.a. sz.m.egyéb műk.kiadás '!E39+'4.a. sz.m.egyéb műk.kiadás '!E42+'4.a. sz.m.egyéb műk.kiadás '!E43+'4.a. sz.m.egyéb műk.kiadás '!E44+'4.a. sz.m.egyéb műk.kiadás '!E54+'4.a. sz.m.egyéb műk.kiadás '!E66+'4.a. sz.m.egyéb műk.kiadás '!E58+'4.a. sz.m.egyéb műk.kiadás '!E78+'4.a. sz.m.egyéb műk.kiadás '!E77+'4.a. sz.m.egyéb műk.kiadás '!E57</f>
        <v>364236419</v>
      </c>
      <c r="F51" s="477">
        <v>339815186</v>
      </c>
      <c r="G51" s="477">
        <v>711150833</v>
      </c>
      <c r="H51" s="477">
        <f>'4.a. sz.m.egyéb műk.kiadás '!H19+'4.a. sz.m.egyéb műk.kiadás '!H39+'4.a. sz.m.egyéb műk.kiadás '!H42+'4.a. sz.m.egyéb műk.kiadás '!H43+'4.a. sz.m.egyéb műk.kiadás '!H44+'4.a. sz.m.egyéb műk.kiadás '!H54+'4.a. sz.m.egyéb műk.kiadás '!H66+'4.a. sz.m.egyéb műk.kiadás '!H58+'4.a. sz.m.egyéb műk.kiadás '!H78+'4.a. sz.m.egyéb műk.kiadás '!H77+'4.a. sz.m.egyéb műk.kiadás '!H57</f>
        <v>168689549</v>
      </c>
    </row>
    <row r="52" spans="1:8" ht="20.100000000000001" customHeight="1" x14ac:dyDescent="0.2">
      <c r="A52" s="478"/>
      <c r="B52" s="474" t="s">
        <v>336</v>
      </c>
      <c r="C52" s="477">
        <f>'4.a. sz.m.egyéb műk.kiadás '!C44</f>
        <v>204110000</v>
      </c>
      <c r="D52" s="477">
        <v>255712508</v>
      </c>
      <c r="E52" s="477">
        <f>'4.a. sz.m.egyéb műk.kiadás '!E44</f>
        <v>198860920</v>
      </c>
      <c r="F52" s="477">
        <v>175524789</v>
      </c>
      <c r="G52" s="477">
        <v>538653284</v>
      </c>
      <c r="H52" s="477">
        <f>'4.a. sz.m.egyéb műk.kiadás '!H44</f>
        <v>0</v>
      </c>
    </row>
    <row r="53" spans="1:8" ht="20.100000000000001" customHeight="1" x14ac:dyDescent="0.25">
      <c r="A53" s="470"/>
      <c r="B53" s="164" t="s">
        <v>172</v>
      </c>
      <c r="C53" s="165">
        <f t="shared" ref="C53:D53" si="16">C47+C48+C49+C50+C51</f>
        <v>987939497</v>
      </c>
      <c r="D53" s="165">
        <f t="shared" si="16"/>
        <v>1118839106</v>
      </c>
      <c r="E53" s="165">
        <f t="shared" ref="E53:H53" si="17">E47+E48+E49+E50+E51</f>
        <v>1159731187</v>
      </c>
      <c r="F53" s="165">
        <f t="shared" si="17"/>
        <v>1153261021</v>
      </c>
      <c r="G53" s="165">
        <f t="shared" si="17"/>
        <v>1525382379</v>
      </c>
      <c r="H53" s="165">
        <f t="shared" si="17"/>
        <v>908228420</v>
      </c>
    </row>
    <row r="54" spans="1:8" ht="20.100000000000001" customHeight="1" x14ac:dyDescent="0.2">
      <c r="A54" s="479" t="s">
        <v>144</v>
      </c>
      <c r="B54" s="474" t="s">
        <v>145</v>
      </c>
      <c r="C54" s="475">
        <f>'4.a. sz.m.egyéb műk.kiadás '!C83+'4.a. sz.m.egyéb műk.kiadás '!C98+'4.a. sz.m.egyéb műk.kiadás '!C102+'4.a. sz.m.egyéb műk.kiadás '!C105</f>
        <v>71467985</v>
      </c>
      <c r="D54" s="475">
        <f>'4.a. sz.m.egyéb műk.kiadás '!D83+'4.a. sz.m.egyéb műk.kiadás '!D98+'4.a. sz.m.egyéb műk.kiadás '!D102+'4.a. sz.m.egyéb műk.kiadás '!D105</f>
        <v>751946293</v>
      </c>
      <c r="E54" s="475">
        <f>'4.a. sz.m.egyéb műk.kiadás '!E83+'4.a. sz.m.egyéb műk.kiadás '!E98+'4.a. sz.m.egyéb műk.kiadás '!E102+'4.a. sz.m.egyéb műk.kiadás '!E105</f>
        <v>743217765</v>
      </c>
      <c r="F54" s="475">
        <f>'5.sz.m.-Beruházás és felújítás'!E69</f>
        <v>749904873</v>
      </c>
      <c r="G54" s="475">
        <f>'4.a. sz.m.egyéb műk.kiadás '!G83+'4.a. sz.m.egyéb műk.kiadás '!G98+'4.a. sz.m.egyéb műk.kiadás '!G102+'4.a. sz.m.egyéb műk.kiadás '!G105</f>
        <v>744615030</v>
      </c>
      <c r="H54" s="475">
        <f>'4.a. sz.m.egyéb műk.kiadás '!H83+'4.a. sz.m.egyéb műk.kiadás '!H98+'4.a. sz.m.egyéb műk.kiadás '!H102+'4.a. sz.m.egyéb műk.kiadás '!H105</f>
        <v>286757526</v>
      </c>
    </row>
    <row r="55" spans="1:8" ht="20.100000000000001" customHeight="1" x14ac:dyDescent="0.2">
      <c r="A55" s="479" t="s">
        <v>146</v>
      </c>
      <c r="B55" s="474" t="s">
        <v>79</v>
      </c>
      <c r="C55" s="475">
        <f>'4.a. sz.m.egyéb műk.kiadás '!C84</f>
        <v>42494750</v>
      </c>
      <c r="D55" s="475">
        <f>'4.a. sz.m.egyéb műk.kiadás '!D84</f>
        <v>32843676</v>
      </c>
      <c r="E55" s="475">
        <f>'4.a. sz.m.egyéb műk.kiadás '!E84</f>
        <v>35919591</v>
      </c>
      <c r="F55" s="475">
        <f>'4.a. sz.m.egyéb műk.kiadás '!F84</f>
        <v>36119437</v>
      </c>
      <c r="G55" s="475">
        <f>'4.a. sz.m.egyéb műk.kiadás '!G84</f>
        <v>43758543</v>
      </c>
      <c r="H55" s="475">
        <f>'4.a. sz.m.egyéb műk.kiadás '!H84</f>
        <v>9492047</v>
      </c>
    </row>
    <row r="56" spans="1:8" ht="20.100000000000001" customHeight="1" x14ac:dyDescent="0.2">
      <c r="A56" s="479" t="s">
        <v>147</v>
      </c>
      <c r="B56" s="474" t="s">
        <v>148</v>
      </c>
      <c r="C56" s="475">
        <f>'4.a. sz.m.egyéb műk.kiadás '!C85+'4.a. sz.m.egyéb műk.kiadás '!C88+'4.a. sz.m.egyéb műk.kiadás '!C92+'4.a. sz.m.egyéb műk.kiadás '!C95</f>
        <v>3905000</v>
      </c>
      <c r="D56" s="475">
        <f>'4.a. sz.m.egyéb műk.kiadás '!D85+'4.a. sz.m.egyéb műk.kiadás '!D88+'4.a. sz.m.egyéb műk.kiadás '!D92+'4.a. sz.m.egyéb műk.kiadás '!D95</f>
        <v>15420000</v>
      </c>
      <c r="E56" s="475">
        <f>'4.a. sz.m.egyéb műk.kiadás '!E85+'4.a. sz.m.egyéb műk.kiadás '!E88+'4.a. sz.m.egyéb műk.kiadás '!E92+'4.a. sz.m.egyéb műk.kiadás '!E95</f>
        <v>15420000</v>
      </c>
      <c r="F56" s="475">
        <f>'4.a. sz.m.egyéb műk.kiadás '!F85+'4.a. sz.m.egyéb műk.kiadás '!F88+'4.a. sz.m.egyéb műk.kiadás '!F92+'4.a. sz.m.egyéb műk.kiadás '!F95+'4.a. sz.m.egyéb műk.kiadás '!F99</f>
        <v>37551976</v>
      </c>
      <c r="G56" s="475">
        <f>'4.a. sz.m.egyéb műk.kiadás '!G85+'4.a. sz.m.egyéb műk.kiadás '!G88+'4.a. sz.m.egyéb műk.kiadás '!G92+'4.a. sz.m.egyéb műk.kiadás '!G95+'4.a. sz.m.egyéb műk.kiadás '!G99</f>
        <v>37372723</v>
      </c>
      <c r="H56" s="475">
        <f>'4.a. sz.m.egyéb műk.kiadás '!H85+'4.a. sz.m.egyéb műk.kiadás '!H88+'4.a. sz.m.egyéb műk.kiadás '!H92+'4.a. sz.m.egyéb műk.kiadás '!H95+'4.a. sz.m.egyéb műk.kiadás '!H99</f>
        <v>5240747</v>
      </c>
    </row>
    <row r="57" spans="1:8" ht="20.100000000000001" customHeight="1" x14ac:dyDescent="0.25">
      <c r="A57" s="470"/>
      <c r="B57" s="166" t="s">
        <v>173</v>
      </c>
      <c r="C57" s="165">
        <f t="shared" ref="C57:D57" si="18">C54+C55+C56</f>
        <v>117867735</v>
      </c>
      <c r="D57" s="165">
        <f t="shared" si="18"/>
        <v>800209969</v>
      </c>
      <c r="E57" s="165">
        <f t="shared" ref="E57:H57" si="19">E54+E55+E56</f>
        <v>794557356</v>
      </c>
      <c r="F57" s="165">
        <f t="shared" si="19"/>
        <v>823576286</v>
      </c>
      <c r="G57" s="165">
        <f t="shared" si="19"/>
        <v>825746296</v>
      </c>
      <c r="H57" s="165">
        <f t="shared" si="19"/>
        <v>301490320</v>
      </c>
    </row>
    <row r="58" spans="1:8" ht="20.100000000000001" customHeight="1" x14ac:dyDescent="0.25">
      <c r="A58" s="163" t="s">
        <v>290</v>
      </c>
      <c r="B58" s="166" t="s">
        <v>291</v>
      </c>
      <c r="C58" s="165">
        <f t="shared" ref="C58:D58" si="20">C53+C57</f>
        <v>1105807232</v>
      </c>
      <c r="D58" s="165">
        <f t="shared" si="20"/>
        <v>1919049075</v>
      </c>
      <c r="E58" s="165">
        <f t="shared" ref="E58:H58" si="21">E53+E57</f>
        <v>1954288543</v>
      </c>
      <c r="F58" s="165">
        <f t="shared" si="21"/>
        <v>1976837307</v>
      </c>
      <c r="G58" s="165">
        <f t="shared" si="21"/>
        <v>2351128675</v>
      </c>
      <c r="H58" s="165">
        <f t="shared" si="21"/>
        <v>1209718740</v>
      </c>
    </row>
    <row r="59" spans="1:8" ht="20.100000000000001" customHeight="1" x14ac:dyDescent="0.25">
      <c r="A59" s="49" t="s">
        <v>174</v>
      </c>
      <c r="B59" s="469" t="s">
        <v>175</v>
      </c>
      <c r="C59" s="114"/>
      <c r="D59" s="114"/>
      <c r="E59" s="114"/>
      <c r="F59" s="114"/>
      <c r="G59" s="114"/>
      <c r="H59" s="114"/>
    </row>
    <row r="60" spans="1:8" ht="20.100000000000001" customHeight="1" x14ac:dyDescent="0.25">
      <c r="A60" s="49"/>
      <c r="B60" s="467" t="s">
        <v>771</v>
      </c>
      <c r="C60" s="472">
        <f>'4.a. sz.m.egyéb műk.kiadás '!C110</f>
        <v>10000000</v>
      </c>
      <c r="D60" s="472">
        <f>'4.a. sz.m.egyéb műk.kiadás '!D110</f>
        <v>10000000</v>
      </c>
      <c r="E60" s="472">
        <f>'4.a. sz.m.egyéb műk.kiadás '!E110</f>
        <v>10000000</v>
      </c>
      <c r="F60" s="472">
        <f>'4.a. sz.m.egyéb műk.kiadás '!F110</f>
        <v>10000000</v>
      </c>
      <c r="G60" s="472">
        <f>'4.a. sz.m.egyéb műk.kiadás '!G110</f>
        <v>10000000</v>
      </c>
      <c r="H60" s="472">
        <f>'4.a. sz.m.egyéb műk.kiadás '!H110</f>
        <v>10000000</v>
      </c>
    </row>
    <row r="61" spans="1:8" ht="20.100000000000001" customHeight="1" x14ac:dyDescent="0.25">
      <c r="A61" s="49"/>
      <c r="B61" s="467" t="s">
        <v>772</v>
      </c>
      <c r="C61" s="472">
        <f>'4.a. sz.m.egyéb műk.kiadás '!C111</f>
        <v>0</v>
      </c>
      <c r="D61" s="472">
        <f>'4.a. sz.m.egyéb műk.kiadás '!D111</f>
        <v>100000000</v>
      </c>
      <c r="E61" s="472">
        <f>'4.a. sz.m.egyéb műk.kiadás '!E111</f>
        <v>100000000</v>
      </c>
      <c r="F61" s="472">
        <f>'4.a. sz.m.egyéb műk.kiadás '!F111</f>
        <v>100000000</v>
      </c>
      <c r="G61" s="472">
        <f>'4.a. sz.m.egyéb műk.kiadás '!G111</f>
        <v>100000000</v>
      </c>
      <c r="H61" s="472">
        <f>'4.a. sz.m.egyéb műk.kiadás '!H111</f>
        <v>100000000</v>
      </c>
    </row>
    <row r="62" spans="1:8" ht="20.100000000000001" customHeight="1" x14ac:dyDescent="0.25">
      <c r="A62" s="49"/>
      <c r="B62" s="467" t="s">
        <v>773</v>
      </c>
      <c r="C62" s="472">
        <f>'4.a. sz.m.egyéb műk.kiadás '!C112</f>
        <v>12597768</v>
      </c>
      <c r="D62" s="472">
        <f>'4.a. sz.m.egyéb műk.kiadás '!D112</f>
        <v>14048925</v>
      </c>
      <c r="E62" s="472">
        <f>'4.a. sz.m.egyéb műk.kiadás '!E112</f>
        <v>14048925</v>
      </c>
      <c r="F62" s="472">
        <f>'4.a. sz.m.egyéb műk.kiadás '!F112</f>
        <v>14104433</v>
      </c>
      <c r="G62" s="472">
        <f>'4.a. sz.m.egyéb műk.kiadás '!G112</f>
        <v>14114285</v>
      </c>
      <c r="H62" s="472">
        <f>'4.a. sz.m.egyéb műk.kiadás '!H112</f>
        <v>14098979</v>
      </c>
    </row>
    <row r="63" spans="1:8" ht="20.100000000000001" customHeight="1" x14ac:dyDescent="0.25">
      <c r="A63" s="49"/>
      <c r="B63" s="471" t="s">
        <v>762</v>
      </c>
      <c r="C63" s="165">
        <f t="shared" ref="C63:D63" si="22">SUM(C60:C62)</f>
        <v>22597768</v>
      </c>
      <c r="D63" s="165">
        <f t="shared" si="22"/>
        <v>124048925</v>
      </c>
      <c r="E63" s="165">
        <f t="shared" ref="E63:H63" si="23">SUM(E60:E62)</f>
        <v>124048925</v>
      </c>
      <c r="F63" s="165">
        <f t="shared" si="23"/>
        <v>124104433</v>
      </c>
      <c r="G63" s="165">
        <f t="shared" si="23"/>
        <v>124114285</v>
      </c>
      <c r="H63" s="165">
        <f t="shared" si="23"/>
        <v>124098979</v>
      </c>
    </row>
    <row r="64" spans="1:8" ht="20.100000000000001" customHeight="1" x14ac:dyDescent="0.25">
      <c r="A64" s="814" t="s">
        <v>176</v>
      </c>
      <c r="B64" s="815"/>
      <c r="C64" s="165">
        <f t="shared" ref="C64:D64" si="24">C58+C63</f>
        <v>1128405000</v>
      </c>
      <c r="D64" s="165">
        <f t="shared" si="24"/>
        <v>2043098000</v>
      </c>
      <c r="E64" s="165">
        <f t="shared" ref="E64:H64" si="25">E58+E63</f>
        <v>2078337468</v>
      </c>
      <c r="F64" s="165">
        <f t="shared" si="25"/>
        <v>2100941740</v>
      </c>
      <c r="G64" s="165">
        <f t="shared" si="25"/>
        <v>2475242960</v>
      </c>
      <c r="H64" s="165">
        <f t="shared" si="25"/>
        <v>1333817719</v>
      </c>
    </row>
    <row r="65" spans="1:3" ht="15" x14ac:dyDescent="0.2">
      <c r="A65" s="6"/>
      <c r="B65" s="6"/>
      <c r="C65" s="6"/>
    </row>
    <row r="66" spans="1:3" ht="14.25" x14ac:dyDescent="0.2">
      <c r="A66" s="16"/>
      <c r="B66" s="16"/>
      <c r="C66" s="16"/>
    </row>
    <row r="67" spans="1:3" ht="14.25" x14ac:dyDescent="0.2">
      <c r="A67" s="16"/>
      <c r="B67" s="16"/>
      <c r="C67" s="16"/>
    </row>
    <row r="68" spans="1:3" ht="14.25" x14ac:dyDescent="0.2">
      <c r="A68" s="16"/>
      <c r="B68" s="16"/>
      <c r="C68" s="16"/>
    </row>
    <row r="69" spans="1:3" ht="14.25" x14ac:dyDescent="0.2">
      <c r="A69" s="16"/>
      <c r="B69" s="16"/>
      <c r="C69" s="16"/>
    </row>
    <row r="70" spans="1:3" ht="14.25" x14ac:dyDescent="0.2">
      <c r="A70" s="16"/>
      <c r="B70" s="16"/>
      <c r="C70" s="16"/>
    </row>
    <row r="71" spans="1:3" ht="14.25" x14ac:dyDescent="0.2">
      <c r="A71" s="16"/>
      <c r="B71" s="16"/>
      <c r="C71" s="16"/>
    </row>
    <row r="72" spans="1:3" ht="14.25" x14ac:dyDescent="0.2">
      <c r="A72" s="16"/>
      <c r="B72" s="16"/>
      <c r="C72" s="16"/>
    </row>
    <row r="73" spans="1:3" ht="14.25" x14ac:dyDescent="0.2">
      <c r="A73" s="16"/>
      <c r="B73" s="16"/>
      <c r="C73" s="16"/>
    </row>
    <row r="74" spans="1:3" ht="14.25" x14ac:dyDescent="0.2">
      <c r="A74" s="16"/>
      <c r="B74" s="16"/>
      <c r="C74" s="16"/>
    </row>
    <row r="75" spans="1:3" ht="14.25" x14ac:dyDescent="0.2">
      <c r="A75" s="16"/>
      <c r="B75" s="16"/>
      <c r="C75" s="16"/>
    </row>
    <row r="76" spans="1:3" ht="14.25" x14ac:dyDescent="0.2">
      <c r="A76" s="16"/>
      <c r="B76" s="16"/>
      <c r="C76" s="16"/>
    </row>
    <row r="77" spans="1:3" ht="14.25" x14ac:dyDescent="0.2">
      <c r="A77" s="16"/>
      <c r="B77" s="16"/>
      <c r="C77" s="16"/>
    </row>
    <row r="78" spans="1:3" ht="14.25" x14ac:dyDescent="0.2">
      <c r="A78" s="16"/>
      <c r="B78" s="16"/>
      <c r="C78" s="16"/>
    </row>
    <row r="79" spans="1:3" ht="14.25" x14ac:dyDescent="0.2">
      <c r="A79" s="16"/>
      <c r="B79" s="16"/>
      <c r="C79" s="16"/>
    </row>
    <row r="80" spans="1:3" ht="14.25" x14ac:dyDescent="0.2">
      <c r="A80" s="16"/>
      <c r="B80" s="16"/>
      <c r="C80" s="16"/>
    </row>
    <row r="81" spans="1:3" ht="14.25" x14ac:dyDescent="0.2">
      <c r="A81" s="16"/>
      <c r="B81" s="16"/>
      <c r="C81" s="16"/>
    </row>
    <row r="82" spans="1:3" ht="14.25" x14ac:dyDescent="0.2">
      <c r="A82" s="16"/>
      <c r="B82" s="16"/>
      <c r="C82" s="16"/>
    </row>
    <row r="83" spans="1:3" ht="14.25" x14ac:dyDescent="0.2">
      <c r="A83" s="16"/>
      <c r="B83" s="16"/>
      <c r="C83" s="16"/>
    </row>
    <row r="84" spans="1:3" ht="14.25" x14ac:dyDescent="0.2">
      <c r="A84" s="16"/>
      <c r="B84" s="16"/>
      <c r="C84" s="16"/>
    </row>
    <row r="85" spans="1:3" ht="14.25" x14ac:dyDescent="0.2">
      <c r="A85" s="16"/>
      <c r="B85" s="16"/>
      <c r="C85" s="16"/>
    </row>
    <row r="86" spans="1:3" ht="14.25" x14ac:dyDescent="0.2">
      <c r="A86" s="16"/>
      <c r="B86" s="16"/>
      <c r="C86" s="16"/>
    </row>
    <row r="87" spans="1:3" ht="14.25" x14ac:dyDescent="0.2">
      <c r="A87" s="16"/>
      <c r="B87" s="16"/>
      <c r="C87" s="16"/>
    </row>
    <row r="88" spans="1:3" ht="14.25" x14ac:dyDescent="0.2">
      <c r="A88" s="16"/>
      <c r="B88" s="16"/>
      <c r="C88" s="16"/>
    </row>
    <row r="89" spans="1:3" ht="14.25" x14ac:dyDescent="0.2">
      <c r="A89" s="16"/>
      <c r="B89" s="16"/>
      <c r="C89" s="16"/>
    </row>
    <row r="90" spans="1:3" ht="14.25" x14ac:dyDescent="0.2">
      <c r="A90" s="16"/>
      <c r="B90" s="16"/>
      <c r="C90" s="16"/>
    </row>
    <row r="91" spans="1:3" ht="14.25" x14ac:dyDescent="0.2">
      <c r="A91" s="16"/>
      <c r="B91" s="16"/>
      <c r="C91" s="16"/>
    </row>
    <row r="92" spans="1:3" ht="14.25" x14ac:dyDescent="0.2">
      <c r="A92" s="16"/>
      <c r="B92" s="16"/>
      <c r="C92" s="16"/>
    </row>
    <row r="93" spans="1:3" ht="14.25" x14ac:dyDescent="0.2">
      <c r="A93" s="16"/>
      <c r="B93" s="16"/>
      <c r="C93" s="16"/>
    </row>
    <row r="94" spans="1:3" ht="14.25" x14ac:dyDescent="0.2">
      <c r="A94" s="16"/>
      <c r="B94" s="16"/>
      <c r="C94" s="16"/>
    </row>
    <row r="95" spans="1:3" ht="14.25" x14ac:dyDescent="0.2">
      <c r="A95" s="16"/>
      <c r="B95" s="16"/>
      <c r="C95" s="16"/>
    </row>
    <row r="96" spans="1:3" ht="14.25" x14ac:dyDescent="0.2">
      <c r="A96" s="16"/>
      <c r="B96" s="16"/>
      <c r="C96" s="16"/>
    </row>
    <row r="97" spans="1:3" ht="14.25" x14ac:dyDescent="0.2">
      <c r="A97" s="16"/>
      <c r="B97" s="16"/>
      <c r="C97" s="16"/>
    </row>
    <row r="98" spans="1:3" ht="14.25" x14ac:dyDescent="0.2">
      <c r="A98" s="16"/>
      <c r="B98" s="16"/>
      <c r="C98" s="16"/>
    </row>
    <row r="99" spans="1:3" ht="14.25" x14ac:dyDescent="0.2">
      <c r="A99" s="16"/>
      <c r="B99" s="16"/>
      <c r="C99" s="16"/>
    </row>
    <row r="100" spans="1:3" ht="14.25" x14ac:dyDescent="0.2">
      <c r="A100" s="16"/>
      <c r="B100" s="16"/>
      <c r="C100" s="16"/>
    </row>
    <row r="101" spans="1:3" ht="14.25" x14ac:dyDescent="0.2">
      <c r="A101" s="16"/>
      <c r="B101" s="16"/>
      <c r="C101" s="16"/>
    </row>
    <row r="102" spans="1:3" ht="14.25" x14ac:dyDescent="0.2">
      <c r="A102" s="16"/>
      <c r="B102" s="16"/>
      <c r="C102" s="16"/>
    </row>
    <row r="103" spans="1:3" ht="14.25" x14ac:dyDescent="0.2">
      <c r="A103" s="16"/>
      <c r="B103" s="16"/>
      <c r="C103" s="16"/>
    </row>
    <row r="104" spans="1:3" ht="14.25" x14ac:dyDescent="0.2">
      <c r="A104" s="16"/>
      <c r="B104" s="16"/>
      <c r="C104" s="16"/>
    </row>
    <row r="105" spans="1:3" ht="14.25" x14ac:dyDescent="0.2">
      <c r="A105" s="16"/>
      <c r="B105" s="16"/>
      <c r="C105" s="16"/>
    </row>
    <row r="106" spans="1:3" ht="14.25" x14ac:dyDescent="0.2">
      <c r="A106" s="16"/>
      <c r="B106" s="16"/>
      <c r="C106" s="16"/>
    </row>
    <row r="107" spans="1:3" ht="14.25" x14ac:dyDescent="0.2">
      <c r="A107" s="16"/>
      <c r="B107" s="16"/>
      <c r="C107" s="16"/>
    </row>
    <row r="108" spans="1:3" ht="14.25" x14ac:dyDescent="0.2">
      <c r="A108" s="16"/>
      <c r="B108" s="16"/>
      <c r="C108" s="16"/>
    </row>
    <row r="109" spans="1:3" ht="14.25" x14ac:dyDescent="0.2">
      <c r="A109" s="16"/>
      <c r="B109" s="16"/>
      <c r="C109" s="16"/>
    </row>
    <row r="110" spans="1:3" ht="14.25" x14ac:dyDescent="0.2">
      <c r="A110" s="16"/>
      <c r="B110" s="16"/>
      <c r="C110" s="16"/>
    </row>
    <row r="111" spans="1:3" ht="14.25" x14ac:dyDescent="0.2">
      <c r="A111" s="16"/>
      <c r="B111" s="16"/>
      <c r="C111" s="16"/>
    </row>
    <row r="112" spans="1:3" ht="14.25" x14ac:dyDescent="0.2">
      <c r="A112" s="16"/>
      <c r="B112" s="16"/>
      <c r="C112" s="16"/>
    </row>
    <row r="113" spans="1:3" ht="14.25" x14ac:dyDescent="0.2">
      <c r="A113" s="16"/>
      <c r="B113" s="16"/>
      <c r="C113" s="16"/>
    </row>
    <row r="114" spans="1:3" ht="14.25" x14ac:dyDescent="0.2">
      <c r="A114" s="16"/>
      <c r="B114" s="16"/>
      <c r="C114" s="16"/>
    </row>
    <row r="115" spans="1:3" ht="14.25" x14ac:dyDescent="0.2">
      <c r="A115" s="16"/>
      <c r="B115" s="16"/>
      <c r="C115" s="16"/>
    </row>
    <row r="116" spans="1:3" ht="14.25" x14ac:dyDescent="0.2">
      <c r="A116" s="16"/>
      <c r="B116" s="16"/>
      <c r="C116" s="16"/>
    </row>
    <row r="117" spans="1:3" ht="14.25" x14ac:dyDescent="0.2">
      <c r="A117" s="16"/>
      <c r="B117" s="16"/>
      <c r="C117" s="16"/>
    </row>
    <row r="118" spans="1:3" ht="14.25" x14ac:dyDescent="0.2">
      <c r="A118" s="16"/>
      <c r="B118" s="16"/>
      <c r="C118" s="16"/>
    </row>
    <row r="119" spans="1:3" ht="14.25" x14ac:dyDescent="0.2">
      <c r="A119" s="16"/>
      <c r="B119" s="16"/>
      <c r="C119" s="16"/>
    </row>
    <row r="120" spans="1:3" ht="14.25" x14ac:dyDescent="0.2">
      <c r="A120" s="16"/>
      <c r="B120" s="16"/>
      <c r="C120" s="16"/>
    </row>
    <row r="121" spans="1:3" ht="14.25" x14ac:dyDescent="0.2">
      <c r="A121" s="16"/>
      <c r="B121" s="16"/>
      <c r="C121" s="16"/>
    </row>
    <row r="122" spans="1:3" ht="14.25" x14ac:dyDescent="0.2">
      <c r="A122" s="16"/>
      <c r="B122" s="16"/>
      <c r="C122" s="16"/>
    </row>
    <row r="123" spans="1:3" ht="14.25" x14ac:dyDescent="0.2">
      <c r="A123" s="16"/>
      <c r="B123" s="16"/>
      <c r="C123" s="16"/>
    </row>
    <row r="124" spans="1:3" ht="14.25" x14ac:dyDescent="0.2">
      <c r="A124" s="16"/>
      <c r="B124" s="16"/>
      <c r="C124" s="16"/>
    </row>
    <row r="125" spans="1:3" ht="14.25" x14ac:dyDescent="0.2">
      <c r="A125" s="16"/>
      <c r="B125" s="16"/>
      <c r="C125" s="16"/>
    </row>
    <row r="126" spans="1:3" ht="14.25" x14ac:dyDescent="0.2">
      <c r="A126" s="16"/>
      <c r="B126" s="16"/>
      <c r="C126" s="16"/>
    </row>
    <row r="127" spans="1:3" ht="14.25" x14ac:dyDescent="0.2">
      <c r="A127" s="16"/>
      <c r="B127" s="16"/>
      <c r="C127" s="16"/>
    </row>
    <row r="128" spans="1:3" ht="14.25" x14ac:dyDescent="0.2">
      <c r="A128" s="16"/>
      <c r="B128" s="16"/>
      <c r="C128" s="16"/>
    </row>
    <row r="129" spans="1:3" ht="14.25" x14ac:dyDescent="0.2">
      <c r="A129" s="16"/>
      <c r="B129" s="16"/>
      <c r="C129" s="16"/>
    </row>
    <row r="130" spans="1:3" ht="14.25" x14ac:dyDescent="0.2">
      <c r="A130" s="16"/>
      <c r="B130" s="16"/>
      <c r="C130" s="16"/>
    </row>
    <row r="131" spans="1:3" ht="14.25" x14ac:dyDescent="0.2">
      <c r="A131" s="16"/>
      <c r="B131" s="16"/>
      <c r="C131" s="16"/>
    </row>
    <row r="132" spans="1:3" ht="14.25" x14ac:dyDescent="0.2">
      <c r="A132" s="16"/>
      <c r="B132" s="16"/>
      <c r="C132" s="16"/>
    </row>
    <row r="133" spans="1:3" ht="14.25" x14ac:dyDescent="0.2">
      <c r="A133" s="16"/>
      <c r="B133" s="16"/>
      <c r="C133" s="16"/>
    </row>
    <row r="134" spans="1:3" ht="14.25" x14ac:dyDescent="0.2">
      <c r="A134" s="16"/>
      <c r="B134" s="16"/>
      <c r="C134" s="16"/>
    </row>
    <row r="135" spans="1:3" ht="14.25" x14ac:dyDescent="0.2">
      <c r="A135" s="16"/>
      <c r="B135" s="16"/>
      <c r="C135" s="16"/>
    </row>
    <row r="136" spans="1:3" ht="14.25" x14ac:dyDescent="0.2">
      <c r="A136" s="16"/>
      <c r="B136" s="16"/>
      <c r="C136" s="16"/>
    </row>
    <row r="137" spans="1:3" ht="14.25" x14ac:dyDescent="0.2">
      <c r="A137" s="16"/>
      <c r="B137" s="16"/>
      <c r="C137" s="16"/>
    </row>
    <row r="138" spans="1:3" ht="14.25" x14ac:dyDescent="0.2">
      <c r="A138" s="16"/>
      <c r="B138" s="16"/>
      <c r="C138" s="16"/>
    </row>
    <row r="139" spans="1:3" ht="14.25" x14ac:dyDescent="0.2">
      <c r="A139" s="16"/>
      <c r="B139" s="16"/>
      <c r="C139" s="16"/>
    </row>
    <row r="140" spans="1:3" ht="14.25" x14ac:dyDescent="0.2">
      <c r="A140" s="16"/>
      <c r="B140" s="16"/>
      <c r="C140" s="16"/>
    </row>
    <row r="141" spans="1:3" ht="14.25" x14ac:dyDescent="0.2">
      <c r="A141" s="16"/>
      <c r="B141" s="16"/>
      <c r="C141" s="16"/>
    </row>
    <row r="142" spans="1:3" ht="14.25" x14ac:dyDescent="0.2">
      <c r="A142" s="16"/>
      <c r="B142" s="16"/>
      <c r="C142" s="16"/>
    </row>
    <row r="143" spans="1:3" ht="14.25" x14ac:dyDescent="0.2">
      <c r="A143" s="16"/>
      <c r="B143" s="16"/>
      <c r="C143" s="16"/>
    </row>
    <row r="144" spans="1:3" ht="14.25" x14ac:dyDescent="0.2">
      <c r="A144" s="16"/>
      <c r="B144" s="16"/>
      <c r="C144" s="16"/>
    </row>
    <row r="145" spans="1:3" ht="14.25" x14ac:dyDescent="0.2">
      <c r="A145" s="16"/>
      <c r="B145" s="16"/>
      <c r="C145" s="16"/>
    </row>
    <row r="146" spans="1:3" ht="14.25" x14ac:dyDescent="0.2">
      <c r="A146" s="16"/>
      <c r="B146" s="16"/>
      <c r="C146" s="16"/>
    </row>
    <row r="147" spans="1:3" ht="14.25" x14ac:dyDescent="0.2">
      <c r="A147" s="16"/>
      <c r="B147" s="16"/>
      <c r="C147" s="16"/>
    </row>
    <row r="148" spans="1:3" ht="14.25" x14ac:dyDescent="0.2">
      <c r="A148" s="16"/>
      <c r="B148" s="16"/>
      <c r="C148" s="16"/>
    </row>
    <row r="149" spans="1:3" ht="14.25" x14ac:dyDescent="0.2">
      <c r="A149" s="16"/>
      <c r="B149" s="16"/>
      <c r="C149" s="16"/>
    </row>
    <row r="150" spans="1:3" ht="14.25" x14ac:dyDescent="0.2">
      <c r="A150" s="16"/>
      <c r="B150" s="16"/>
      <c r="C150" s="16"/>
    </row>
    <row r="151" spans="1:3" ht="14.25" x14ac:dyDescent="0.2">
      <c r="A151" s="16"/>
      <c r="B151" s="16"/>
      <c r="C151" s="16"/>
    </row>
    <row r="152" spans="1:3" ht="14.25" x14ac:dyDescent="0.2">
      <c r="A152" s="16"/>
      <c r="B152" s="16"/>
      <c r="C152" s="16"/>
    </row>
    <row r="153" spans="1:3" ht="14.25" x14ac:dyDescent="0.2">
      <c r="A153" s="16"/>
      <c r="B153" s="16"/>
      <c r="C153" s="16"/>
    </row>
    <row r="154" spans="1:3" ht="14.25" x14ac:dyDescent="0.2">
      <c r="A154" s="16"/>
      <c r="B154" s="16"/>
      <c r="C154" s="16"/>
    </row>
    <row r="155" spans="1:3" ht="14.25" x14ac:dyDescent="0.2">
      <c r="A155" s="16"/>
      <c r="B155" s="16"/>
      <c r="C155" s="16"/>
    </row>
    <row r="156" spans="1:3" ht="14.25" x14ac:dyDescent="0.2">
      <c r="A156" s="16"/>
      <c r="B156" s="16"/>
      <c r="C156" s="16"/>
    </row>
    <row r="157" spans="1:3" ht="14.25" x14ac:dyDescent="0.2">
      <c r="A157" s="16"/>
      <c r="B157" s="16"/>
      <c r="C157" s="16"/>
    </row>
    <row r="158" spans="1:3" ht="14.25" x14ac:dyDescent="0.2">
      <c r="A158" s="16"/>
      <c r="B158" s="16"/>
      <c r="C158" s="16"/>
    </row>
    <row r="159" spans="1:3" ht="14.25" x14ac:dyDescent="0.2">
      <c r="A159" s="16"/>
      <c r="B159" s="16"/>
      <c r="C159" s="16"/>
    </row>
    <row r="160" spans="1:3" ht="14.25" x14ac:dyDescent="0.2">
      <c r="A160" s="16"/>
      <c r="B160" s="16"/>
      <c r="C160" s="16"/>
    </row>
    <row r="161" spans="1:3" ht="14.25" x14ac:dyDescent="0.2">
      <c r="A161" s="16"/>
      <c r="B161" s="16"/>
      <c r="C161" s="16"/>
    </row>
    <row r="162" spans="1:3" ht="14.25" x14ac:dyDescent="0.2">
      <c r="A162" s="16"/>
      <c r="B162" s="16"/>
      <c r="C162" s="16"/>
    </row>
    <row r="163" spans="1:3" ht="14.25" x14ac:dyDescent="0.2">
      <c r="A163" s="16"/>
      <c r="B163" s="16"/>
      <c r="C163" s="16"/>
    </row>
    <row r="164" spans="1:3" ht="14.25" x14ac:dyDescent="0.2">
      <c r="A164" s="16"/>
      <c r="B164" s="16"/>
      <c r="C164" s="16"/>
    </row>
    <row r="165" spans="1:3" ht="14.25" x14ac:dyDescent="0.2">
      <c r="A165" s="16"/>
      <c r="B165" s="16"/>
      <c r="C165" s="16"/>
    </row>
    <row r="166" spans="1:3" ht="14.25" x14ac:dyDescent="0.2">
      <c r="A166" s="16"/>
      <c r="B166" s="16"/>
      <c r="C166" s="16"/>
    </row>
    <row r="167" spans="1:3" ht="14.25" x14ac:dyDescent="0.2">
      <c r="A167" s="16"/>
      <c r="B167" s="16"/>
      <c r="C167" s="16"/>
    </row>
    <row r="168" spans="1:3" ht="14.25" x14ac:dyDescent="0.2">
      <c r="A168" s="16"/>
      <c r="B168" s="16"/>
      <c r="C168" s="16"/>
    </row>
    <row r="169" spans="1:3" ht="14.25" x14ac:dyDescent="0.2">
      <c r="A169" s="16"/>
      <c r="B169" s="16"/>
      <c r="C169" s="16"/>
    </row>
    <row r="170" spans="1:3" ht="14.25" x14ac:dyDescent="0.2">
      <c r="A170" s="16"/>
      <c r="B170" s="16"/>
      <c r="C170" s="16"/>
    </row>
    <row r="171" spans="1:3" ht="14.25" x14ac:dyDescent="0.2">
      <c r="A171" s="16"/>
      <c r="B171" s="16"/>
      <c r="C171" s="16"/>
    </row>
    <row r="172" spans="1:3" ht="14.25" x14ac:dyDescent="0.2">
      <c r="A172" s="16"/>
      <c r="B172" s="16"/>
      <c r="C172" s="16"/>
    </row>
    <row r="173" spans="1:3" ht="14.25" x14ac:dyDescent="0.2">
      <c r="A173" s="16"/>
      <c r="B173" s="16"/>
      <c r="C173" s="16"/>
    </row>
    <row r="174" spans="1:3" ht="14.25" x14ac:dyDescent="0.2">
      <c r="A174" s="16"/>
      <c r="B174" s="16"/>
      <c r="C174" s="16"/>
    </row>
    <row r="175" spans="1:3" ht="14.25" x14ac:dyDescent="0.2">
      <c r="A175" s="16"/>
      <c r="B175" s="16"/>
      <c r="C175" s="16"/>
    </row>
    <row r="176" spans="1:3" ht="14.25" x14ac:dyDescent="0.2">
      <c r="A176" s="16"/>
      <c r="B176" s="16"/>
      <c r="C176" s="16"/>
    </row>
    <row r="177" spans="1:3" ht="14.25" x14ac:dyDescent="0.2">
      <c r="A177" s="16"/>
      <c r="B177" s="16"/>
      <c r="C177" s="16"/>
    </row>
    <row r="178" spans="1:3" ht="14.25" x14ac:dyDescent="0.2">
      <c r="A178" s="16"/>
      <c r="B178" s="16"/>
      <c r="C178" s="16"/>
    </row>
    <row r="179" spans="1:3" ht="14.25" x14ac:dyDescent="0.2">
      <c r="A179" s="16"/>
      <c r="B179" s="16"/>
      <c r="C179" s="16"/>
    </row>
    <row r="180" spans="1:3" ht="14.25" x14ac:dyDescent="0.2">
      <c r="A180" s="16"/>
      <c r="B180" s="16"/>
      <c r="C180" s="16"/>
    </row>
    <row r="181" spans="1:3" ht="14.25" x14ac:dyDescent="0.2">
      <c r="A181" s="16"/>
      <c r="B181" s="16"/>
      <c r="C181" s="16"/>
    </row>
    <row r="182" spans="1:3" ht="14.25" x14ac:dyDescent="0.2">
      <c r="A182" s="16"/>
      <c r="B182" s="16"/>
      <c r="C182" s="16"/>
    </row>
    <row r="183" spans="1:3" ht="14.25" x14ac:dyDescent="0.2">
      <c r="A183" s="16"/>
      <c r="B183" s="16"/>
      <c r="C183" s="16"/>
    </row>
    <row r="184" spans="1:3" ht="14.25" x14ac:dyDescent="0.2">
      <c r="A184" s="16"/>
      <c r="B184" s="16"/>
      <c r="C184" s="16"/>
    </row>
    <row r="185" spans="1:3" ht="14.25" x14ac:dyDescent="0.2">
      <c r="A185" s="16"/>
      <c r="B185" s="16"/>
      <c r="C185" s="16"/>
    </row>
    <row r="186" spans="1:3" ht="14.25" x14ac:dyDescent="0.2">
      <c r="A186" s="16"/>
      <c r="B186" s="16"/>
      <c r="C186" s="16"/>
    </row>
    <row r="187" spans="1:3" ht="14.25" x14ac:dyDescent="0.2">
      <c r="A187" s="16"/>
      <c r="B187" s="16"/>
      <c r="C187" s="16"/>
    </row>
  </sheetData>
  <mergeCells count="10">
    <mergeCell ref="F1:F2"/>
    <mergeCell ref="G1:G2"/>
    <mergeCell ref="H1:H2"/>
    <mergeCell ref="E1:E2"/>
    <mergeCell ref="D1:D2"/>
    <mergeCell ref="A45:B45"/>
    <mergeCell ref="A64:B64"/>
    <mergeCell ref="A1:A2"/>
    <mergeCell ref="B1:B2"/>
    <mergeCell ref="C1:C2"/>
  </mergeCells>
  <phoneticPr fontId="8" type="noConversion"/>
  <printOptions horizontalCentered="1"/>
  <pageMargins left="0.35433070866141736" right="0.23622047244094491" top="1.1417322834645669" bottom="0.19685039370078741" header="0.35433070866141736" footer="0.19685039370078741"/>
  <pageSetup paperSize="9" scale="57" orientation="portrait" horizontalDpi="4294967294" r:id="rId1"/>
  <headerFooter alignWithMargins="0">
    <oddHeader>&amp;C&amp;"Garamond,Félkövér"&amp;14 11/2019. (V.17.)  számú költségvetési rendelethez
&amp;12ZALAKAROS VÁROS ÖNKORMÁNYZATA ÉS KÖLTSÉGVETÉSI SZERVEI
BEVÉTELI ÉS KIADÁSI ELŐIRÁNYZATAINAK ÖSSZESÍTŐJE ROVATONKÉNT   
2018. ÉVBEN&amp;14
&amp;R&amp;A
&amp;P.oldal
forintban</oddHeader>
  </headerFooter>
  <rowBreaks count="1" manualBreakCount="1">
    <brk id="45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47"/>
  <sheetViews>
    <sheetView topLeftCell="A4" zoomScaleNormal="100" workbookViewId="0">
      <selection activeCell="H11" sqref="H11"/>
    </sheetView>
  </sheetViews>
  <sheetFormatPr defaultColWidth="9.140625" defaultRowHeight="12.75" x14ac:dyDescent="0.2"/>
  <cols>
    <col min="1" max="1" width="8.7109375" style="8" customWidth="1"/>
    <col min="2" max="2" width="31.42578125" style="8" customWidth="1"/>
    <col min="3" max="3" width="16.28515625" style="8" customWidth="1"/>
    <col min="4" max="4" width="13.42578125" style="8" customWidth="1"/>
    <col min="5" max="5" width="14" style="8" customWidth="1"/>
    <col min="6" max="6" width="15.140625" style="8" customWidth="1"/>
    <col min="7" max="7" width="15.7109375" style="8" customWidth="1"/>
    <col min="8" max="8" width="14.7109375" style="8" customWidth="1"/>
    <col min="9" max="10" width="16.5703125" style="8" customWidth="1"/>
    <col min="11" max="11" width="17.140625" style="8" customWidth="1"/>
    <col min="12" max="16384" width="9.140625" style="8"/>
  </cols>
  <sheetData>
    <row r="1" spans="1:11" ht="24.95" customHeight="1" x14ac:dyDescent="0.25">
      <c r="B1" s="348" t="s">
        <v>625</v>
      </c>
    </row>
    <row r="2" spans="1:11" ht="13.5" thickBot="1" x14ac:dyDescent="0.25">
      <c r="A2" s="7"/>
      <c r="B2" s="7"/>
      <c r="C2" s="7"/>
      <c r="D2" s="7"/>
      <c r="E2" s="928"/>
      <c r="F2" s="928"/>
      <c r="G2" s="928"/>
      <c r="H2" s="928"/>
      <c r="I2" s="928"/>
      <c r="J2" s="928"/>
    </row>
    <row r="3" spans="1:11" ht="15" customHeight="1" x14ac:dyDescent="0.2">
      <c r="A3" s="929" t="s">
        <v>46</v>
      </c>
      <c r="B3" s="932" t="s">
        <v>72</v>
      </c>
      <c r="C3" s="939" t="s">
        <v>214</v>
      </c>
      <c r="D3" s="940"/>
      <c r="E3" s="940"/>
      <c r="F3" s="941"/>
      <c r="G3" s="935" t="s">
        <v>49</v>
      </c>
      <c r="H3" s="936"/>
      <c r="I3" s="936"/>
      <c r="J3" s="936"/>
      <c r="K3" s="923" t="s">
        <v>1980</v>
      </c>
    </row>
    <row r="4" spans="1:11" ht="15" customHeight="1" x14ac:dyDescent="0.2">
      <c r="A4" s="930"/>
      <c r="B4" s="933"/>
      <c r="C4" s="930" t="s">
        <v>1981</v>
      </c>
      <c r="D4" s="926" t="s">
        <v>1977</v>
      </c>
      <c r="E4" s="925" t="s">
        <v>1978</v>
      </c>
      <c r="F4" s="942" t="s">
        <v>624</v>
      </c>
      <c r="G4" s="937" t="s">
        <v>13</v>
      </c>
      <c r="H4" s="925" t="s">
        <v>156</v>
      </c>
      <c r="I4" s="944" t="s">
        <v>1979</v>
      </c>
      <c r="J4" s="938" t="s">
        <v>624</v>
      </c>
      <c r="K4" s="924"/>
    </row>
    <row r="5" spans="1:11" ht="15" customHeight="1" x14ac:dyDescent="0.2">
      <c r="A5" s="930"/>
      <c r="B5" s="933"/>
      <c r="C5" s="930"/>
      <c r="D5" s="926"/>
      <c r="E5" s="926"/>
      <c r="F5" s="942"/>
      <c r="G5" s="937"/>
      <c r="H5" s="926"/>
      <c r="I5" s="944"/>
      <c r="J5" s="938"/>
      <c r="K5" s="924"/>
    </row>
    <row r="6" spans="1:11" ht="15" customHeight="1" x14ac:dyDescent="0.2">
      <c r="A6" s="931"/>
      <c r="B6" s="934"/>
      <c r="C6" s="931"/>
      <c r="D6" s="927"/>
      <c r="E6" s="927"/>
      <c r="F6" s="943"/>
      <c r="G6" s="937"/>
      <c r="H6" s="927"/>
      <c r="I6" s="944"/>
      <c r="J6" s="938"/>
      <c r="K6" s="924"/>
    </row>
    <row r="7" spans="1:11" ht="39.950000000000003" customHeight="1" x14ac:dyDescent="0.25">
      <c r="A7" s="802" t="s">
        <v>2</v>
      </c>
      <c r="B7" s="793" t="s">
        <v>621</v>
      </c>
      <c r="C7" s="788">
        <v>79295728</v>
      </c>
      <c r="D7" s="801">
        <v>0</v>
      </c>
      <c r="E7" s="789">
        <v>0</v>
      </c>
      <c r="F7" s="808">
        <v>79295728</v>
      </c>
      <c r="G7" s="806">
        <v>97064666</v>
      </c>
      <c r="H7" s="799">
        <v>0</v>
      </c>
      <c r="I7" s="799">
        <v>8036202</v>
      </c>
      <c r="J7" s="799">
        <f>G7-I7</f>
        <v>89028464</v>
      </c>
      <c r="K7" s="805">
        <f>G7-C7</f>
        <v>17768938</v>
      </c>
    </row>
    <row r="8" spans="1:11" ht="39.950000000000003" customHeight="1" x14ac:dyDescent="0.25">
      <c r="A8" s="802" t="s">
        <v>4</v>
      </c>
      <c r="B8" s="793" t="s">
        <v>622</v>
      </c>
      <c r="C8" s="788">
        <v>233334763</v>
      </c>
      <c r="D8" s="801">
        <v>0</v>
      </c>
      <c r="E8" s="789">
        <v>233334763</v>
      </c>
      <c r="F8" s="808">
        <v>0</v>
      </c>
      <c r="G8" s="806">
        <v>245955480</v>
      </c>
      <c r="H8" s="799">
        <v>1337712</v>
      </c>
      <c r="I8" s="799">
        <f>G8-H8-J8</f>
        <v>213122141</v>
      </c>
      <c r="J8" s="799">
        <f>1291756+30203871</f>
        <v>31495627</v>
      </c>
      <c r="K8" s="805">
        <f>G8-C8</f>
        <v>12620717</v>
      </c>
    </row>
    <row r="9" spans="1:11" ht="39.950000000000003" customHeight="1" x14ac:dyDescent="0.25">
      <c r="A9" s="802" t="s">
        <v>5</v>
      </c>
      <c r="B9" s="793" t="s">
        <v>588</v>
      </c>
      <c r="C9" s="788">
        <v>27060917</v>
      </c>
      <c r="D9" s="801">
        <v>0</v>
      </c>
      <c r="E9" s="790">
        <v>6765229</v>
      </c>
      <c r="F9" s="808">
        <f>C9-E9</f>
        <v>20295688</v>
      </c>
      <c r="G9" s="806">
        <v>30367986</v>
      </c>
      <c r="H9" s="799">
        <v>0</v>
      </c>
      <c r="I9" s="799">
        <f>G9-J9</f>
        <v>24667972</v>
      </c>
      <c r="J9" s="799">
        <v>5700014</v>
      </c>
      <c r="K9" s="805">
        <f>G9-C9</f>
        <v>3307069</v>
      </c>
    </row>
    <row r="10" spans="1:11" ht="39.950000000000003" customHeight="1" x14ac:dyDescent="0.25">
      <c r="A10" s="802" t="s">
        <v>6</v>
      </c>
      <c r="B10" s="793" t="s">
        <v>623</v>
      </c>
      <c r="C10" s="788">
        <v>650000000</v>
      </c>
      <c r="D10" s="801">
        <v>0</v>
      </c>
      <c r="E10" s="791">
        <v>480325722</v>
      </c>
      <c r="F10" s="808">
        <f>C10-E10</f>
        <v>169674278</v>
      </c>
      <c r="G10" s="806">
        <v>950000000</v>
      </c>
      <c r="H10" s="799">
        <v>8255000</v>
      </c>
      <c r="I10" s="799">
        <v>16510000</v>
      </c>
      <c r="J10" s="800">
        <v>925235000</v>
      </c>
      <c r="K10" s="805">
        <v>300000000</v>
      </c>
    </row>
    <row r="11" spans="1:11" ht="39.950000000000003" customHeight="1" x14ac:dyDescent="0.25">
      <c r="A11" s="802" t="s">
        <v>8</v>
      </c>
      <c r="B11" s="793" t="s">
        <v>626</v>
      </c>
      <c r="C11" s="788">
        <v>14258924</v>
      </c>
      <c r="D11" s="801">
        <v>0</v>
      </c>
      <c r="E11" s="791">
        <v>14258924</v>
      </c>
      <c r="F11" s="808">
        <v>0</v>
      </c>
      <c r="G11" s="806">
        <v>32599559</v>
      </c>
      <c r="H11" s="799">
        <f>G11-J11</f>
        <v>16282502</v>
      </c>
      <c r="I11" s="799">
        <v>0</v>
      </c>
      <c r="J11" s="799">
        <v>16317057</v>
      </c>
      <c r="K11" s="805">
        <f t="shared" ref="K11" si="0">G11-C11</f>
        <v>18340635</v>
      </c>
    </row>
    <row r="12" spans="1:11" ht="39.950000000000003" customHeight="1" x14ac:dyDescent="0.25">
      <c r="A12" s="802" t="s">
        <v>21</v>
      </c>
      <c r="B12" s="793" t="s">
        <v>627</v>
      </c>
      <c r="C12" s="788">
        <v>19963948</v>
      </c>
      <c r="D12" s="801">
        <v>0</v>
      </c>
      <c r="E12" s="792">
        <v>19963948</v>
      </c>
      <c r="F12" s="808">
        <v>0</v>
      </c>
      <c r="G12" s="806">
        <v>27849085</v>
      </c>
      <c r="H12" s="799">
        <v>0</v>
      </c>
      <c r="I12" s="801">
        <f>G12-J12</f>
        <v>14251687</v>
      </c>
      <c r="J12" s="799">
        <v>13597398</v>
      </c>
      <c r="K12" s="805">
        <f>G12-C12</f>
        <v>7885137</v>
      </c>
    </row>
    <row r="13" spans="1:11" ht="48.75" customHeight="1" x14ac:dyDescent="0.25">
      <c r="A13" s="802" t="s">
        <v>17</v>
      </c>
      <c r="B13" s="793" t="s">
        <v>1976</v>
      </c>
      <c r="C13" s="794">
        <v>103334259</v>
      </c>
      <c r="D13" s="795">
        <v>0</v>
      </c>
      <c r="E13" s="796">
        <v>0</v>
      </c>
      <c r="F13" s="797">
        <v>103334259</v>
      </c>
      <c r="G13" s="806">
        <v>162589311</v>
      </c>
      <c r="H13" s="799">
        <v>0</v>
      </c>
      <c r="I13" s="801">
        <v>2722500</v>
      </c>
      <c r="J13" s="799">
        <f>174500387-14633576</f>
        <v>159866811</v>
      </c>
      <c r="K13" s="805">
        <f>G13-C13</f>
        <v>59255052</v>
      </c>
    </row>
    <row r="14" spans="1:11" ht="39.950000000000003" customHeight="1" thickBot="1" x14ac:dyDescent="0.3">
      <c r="A14" s="803"/>
      <c r="B14" s="804" t="s">
        <v>60</v>
      </c>
      <c r="C14" s="798">
        <f>SUM(C7:C13)</f>
        <v>1127248539</v>
      </c>
      <c r="D14" s="798">
        <f t="shared" ref="D14:F14" si="1">SUM(D7:D13)</f>
        <v>0</v>
      </c>
      <c r="E14" s="798">
        <f t="shared" si="1"/>
        <v>754648586</v>
      </c>
      <c r="F14" s="798">
        <f t="shared" si="1"/>
        <v>372599953</v>
      </c>
      <c r="G14" s="807">
        <f>SUM(G7:G13)</f>
        <v>1546426087</v>
      </c>
      <c r="H14" s="807">
        <f t="shared" ref="H14:K14" si="2">SUM(H7:H13)</f>
        <v>25875214</v>
      </c>
      <c r="I14" s="807">
        <f t="shared" si="2"/>
        <v>279310502</v>
      </c>
      <c r="J14" s="807">
        <f t="shared" si="2"/>
        <v>1241240371</v>
      </c>
      <c r="K14" s="807">
        <f t="shared" si="2"/>
        <v>419177548</v>
      </c>
    </row>
    <row r="15" spans="1:11" ht="39.950000000000003" customHeight="1" x14ac:dyDescent="0.2">
      <c r="B15" s="106"/>
      <c r="C15" s="106"/>
      <c r="D15" s="106"/>
      <c r="E15" s="106"/>
      <c r="F15" s="106"/>
      <c r="G15" s="344"/>
      <c r="H15" s="106"/>
    </row>
    <row r="16" spans="1:11" ht="39.950000000000003" customHeight="1" x14ac:dyDescent="0.2"/>
    <row r="47" spans="11:11" x14ac:dyDescent="0.2">
      <c r="K47" s="9"/>
    </row>
  </sheetData>
  <mergeCells count="14">
    <mergeCell ref="K3:K6"/>
    <mergeCell ref="H4:H6"/>
    <mergeCell ref="E2:J2"/>
    <mergeCell ref="A3:A6"/>
    <mergeCell ref="B3:B6"/>
    <mergeCell ref="G3:J3"/>
    <mergeCell ref="G4:G6"/>
    <mergeCell ref="C4:C6"/>
    <mergeCell ref="J4:J6"/>
    <mergeCell ref="C3:F3"/>
    <mergeCell ref="D4:D6"/>
    <mergeCell ref="F4:F6"/>
    <mergeCell ref="E4:E6"/>
    <mergeCell ref="I4:I6"/>
  </mergeCells>
  <phoneticPr fontId="8" type="noConversion"/>
  <printOptions horizontalCentered="1"/>
  <pageMargins left="0.23622047244094491" right="0.23622047244094491" top="1.3385826771653544" bottom="0.19685039370078741" header="0.59055118110236227" footer="0.19685039370078741"/>
  <pageSetup paperSize="9" scale="80" orientation="landscape" horizontalDpi="4294967294" r:id="rId1"/>
  <headerFooter alignWithMargins="0">
    <oddHeader xml:space="preserve">&amp;C&amp;"Arial CE,Félkövér"11/2019. (V.17.) számú költségvetési rendelethez
ZALAKAROS VÁROS ÖNKORMÁNYZAT 
2018.ÉVI
 EURÓPAI UNIÓS PROJEKTJEINEK BEVÉTELEI ÉS KIADÁSAI&amp;R&amp;A
&amp;P.oldal
forintban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139"/>
  <sheetViews>
    <sheetView view="pageLayout" topLeftCell="E45" zoomScale="75" zoomScaleNormal="75" zoomScaleSheetLayoutView="75" zoomScalePageLayoutView="75" workbookViewId="0">
      <selection activeCell="P75" sqref="P75"/>
    </sheetView>
  </sheetViews>
  <sheetFormatPr defaultRowHeight="12.75" x14ac:dyDescent="0.2"/>
  <cols>
    <col min="1" max="1" width="7.140625" style="529" customWidth="1"/>
    <col min="2" max="2" width="66.28515625" style="529" customWidth="1"/>
    <col min="3" max="3" width="18.5703125" style="529" customWidth="1"/>
    <col min="4" max="4" width="16.7109375" style="529" customWidth="1"/>
    <col min="5" max="5" width="17" style="529" customWidth="1"/>
    <col min="6" max="6" width="13.7109375" style="529" customWidth="1"/>
    <col min="7" max="7" width="11.42578125" style="529" customWidth="1"/>
    <col min="8" max="8" width="14.85546875" style="529" customWidth="1"/>
    <col min="9" max="9" width="14.140625" style="529" customWidth="1"/>
    <col min="10" max="10" width="12.140625" style="529" customWidth="1"/>
    <col min="11" max="11" width="14" style="529" customWidth="1"/>
    <col min="12" max="12" width="15.42578125" style="529" customWidth="1"/>
    <col min="13" max="13" width="12.28515625" style="529" customWidth="1"/>
    <col min="14" max="14" width="16" style="529" customWidth="1"/>
    <col min="15" max="15" width="17.7109375" style="529" customWidth="1"/>
    <col min="16" max="16" width="17.28515625" style="529" customWidth="1"/>
    <col min="17" max="17" width="18.5703125" style="529" customWidth="1"/>
    <col min="18" max="18" width="12.5703125" style="529" bestFit="1" customWidth="1"/>
    <col min="19" max="256" width="9.140625" style="529"/>
    <col min="257" max="257" width="5.5703125" style="529" customWidth="1"/>
    <col min="258" max="258" width="61" style="529" customWidth="1"/>
    <col min="259" max="259" width="18.5703125" style="529" customWidth="1"/>
    <col min="260" max="260" width="10.85546875" style="529" customWidth="1"/>
    <col min="261" max="261" width="17" style="529" customWidth="1"/>
    <col min="262" max="262" width="13.7109375" style="529" customWidth="1"/>
    <col min="263" max="263" width="9.7109375" style="529" customWidth="1"/>
    <col min="264" max="264" width="14.85546875" style="529" customWidth="1"/>
    <col min="265" max="265" width="14.140625" style="529" customWidth="1"/>
    <col min="266" max="266" width="9.7109375" style="529" customWidth="1"/>
    <col min="267" max="267" width="14" style="529" customWidth="1"/>
    <col min="268" max="268" width="13.42578125" style="529" customWidth="1"/>
    <col min="269" max="269" width="9.85546875" style="529" customWidth="1"/>
    <col min="270" max="270" width="13.28515625" style="529" customWidth="1"/>
    <col min="271" max="271" width="17.7109375" style="529" customWidth="1"/>
    <col min="272" max="272" width="10.140625" style="529" customWidth="1"/>
    <col min="273" max="273" width="18.5703125" style="529" customWidth="1"/>
    <col min="274" max="512" width="9.140625" style="529"/>
    <col min="513" max="513" width="5.5703125" style="529" customWidth="1"/>
    <col min="514" max="514" width="61" style="529" customWidth="1"/>
    <col min="515" max="515" width="18.5703125" style="529" customWidth="1"/>
    <col min="516" max="516" width="10.85546875" style="529" customWidth="1"/>
    <col min="517" max="517" width="17" style="529" customWidth="1"/>
    <col min="518" max="518" width="13.7109375" style="529" customWidth="1"/>
    <col min="519" max="519" width="9.7109375" style="529" customWidth="1"/>
    <col min="520" max="520" width="14.85546875" style="529" customWidth="1"/>
    <col min="521" max="521" width="14.140625" style="529" customWidth="1"/>
    <col min="522" max="522" width="9.7109375" style="529" customWidth="1"/>
    <col min="523" max="523" width="14" style="529" customWidth="1"/>
    <col min="524" max="524" width="13.42578125" style="529" customWidth="1"/>
    <col min="525" max="525" width="9.85546875" style="529" customWidth="1"/>
    <col min="526" max="526" width="13.28515625" style="529" customWidth="1"/>
    <col min="527" max="527" width="17.7109375" style="529" customWidth="1"/>
    <col min="528" max="528" width="10.140625" style="529" customWidth="1"/>
    <col min="529" max="529" width="18.5703125" style="529" customWidth="1"/>
    <col min="530" max="768" width="9.140625" style="529"/>
    <col min="769" max="769" width="5.5703125" style="529" customWidth="1"/>
    <col min="770" max="770" width="61" style="529" customWidth="1"/>
    <col min="771" max="771" width="18.5703125" style="529" customWidth="1"/>
    <col min="772" max="772" width="10.85546875" style="529" customWidth="1"/>
    <col min="773" max="773" width="17" style="529" customWidth="1"/>
    <col min="774" max="774" width="13.7109375" style="529" customWidth="1"/>
    <col min="775" max="775" width="9.7109375" style="529" customWidth="1"/>
    <col min="776" max="776" width="14.85546875" style="529" customWidth="1"/>
    <col min="777" max="777" width="14.140625" style="529" customWidth="1"/>
    <col min="778" max="778" width="9.7109375" style="529" customWidth="1"/>
    <col min="779" max="779" width="14" style="529" customWidth="1"/>
    <col min="780" max="780" width="13.42578125" style="529" customWidth="1"/>
    <col min="781" max="781" width="9.85546875" style="529" customWidth="1"/>
    <col min="782" max="782" width="13.28515625" style="529" customWidth="1"/>
    <col min="783" max="783" width="17.7109375" style="529" customWidth="1"/>
    <col min="784" max="784" width="10.140625" style="529" customWidth="1"/>
    <col min="785" max="785" width="18.5703125" style="529" customWidth="1"/>
    <col min="786" max="1024" width="9.140625" style="529"/>
    <col min="1025" max="1025" width="5.5703125" style="529" customWidth="1"/>
    <col min="1026" max="1026" width="61" style="529" customWidth="1"/>
    <col min="1027" max="1027" width="18.5703125" style="529" customWidth="1"/>
    <col min="1028" max="1028" width="10.85546875" style="529" customWidth="1"/>
    <col min="1029" max="1029" width="17" style="529" customWidth="1"/>
    <col min="1030" max="1030" width="13.7109375" style="529" customWidth="1"/>
    <col min="1031" max="1031" width="9.7109375" style="529" customWidth="1"/>
    <col min="1032" max="1032" width="14.85546875" style="529" customWidth="1"/>
    <col min="1033" max="1033" width="14.140625" style="529" customWidth="1"/>
    <col min="1034" max="1034" width="9.7109375" style="529" customWidth="1"/>
    <col min="1035" max="1035" width="14" style="529" customWidth="1"/>
    <col min="1036" max="1036" width="13.42578125" style="529" customWidth="1"/>
    <col min="1037" max="1037" width="9.85546875" style="529" customWidth="1"/>
    <col min="1038" max="1038" width="13.28515625" style="529" customWidth="1"/>
    <col min="1039" max="1039" width="17.7109375" style="529" customWidth="1"/>
    <col min="1040" max="1040" width="10.140625" style="529" customWidth="1"/>
    <col min="1041" max="1041" width="18.5703125" style="529" customWidth="1"/>
    <col min="1042" max="1280" width="9.140625" style="529"/>
    <col min="1281" max="1281" width="5.5703125" style="529" customWidth="1"/>
    <col min="1282" max="1282" width="61" style="529" customWidth="1"/>
    <col min="1283" max="1283" width="18.5703125" style="529" customWidth="1"/>
    <col min="1284" max="1284" width="10.85546875" style="529" customWidth="1"/>
    <col min="1285" max="1285" width="17" style="529" customWidth="1"/>
    <col min="1286" max="1286" width="13.7109375" style="529" customWidth="1"/>
    <col min="1287" max="1287" width="9.7109375" style="529" customWidth="1"/>
    <col min="1288" max="1288" width="14.85546875" style="529" customWidth="1"/>
    <col min="1289" max="1289" width="14.140625" style="529" customWidth="1"/>
    <col min="1290" max="1290" width="9.7109375" style="529" customWidth="1"/>
    <col min="1291" max="1291" width="14" style="529" customWidth="1"/>
    <col min="1292" max="1292" width="13.42578125" style="529" customWidth="1"/>
    <col min="1293" max="1293" width="9.85546875" style="529" customWidth="1"/>
    <col min="1294" max="1294" width="13.28515625" style="529" customWidth="1"/>
    <col min="1295" max="1295" width="17.7109375" style="529" customWidth="1"/>
    <col min="1296" max="1296" width="10.140625" style="529" customWidth="1"/>
    <col min="1297" max="1297" width="18.5703125" style="529" customWidth="1"/>
    <col min="1298" max="1536" width="9.140625" style="529"/>
    <col min="1537" max="1537" width="5.5703125" style="529" customWidth="1"/>
    <col min="1538" max="1538" width="61" style="529" customWidth="1"/>
    <col min="1539" max="1539" width="18.5703125" style="529" customWidth="1"/>
    <col min="1540" max="1540" width="10.85546875" style="529" customWidth="1"/>
    <col min="1541" max="1541" width="17" style="529" customWidth="1"/>
    <col min="1542" max="1542" width="13.7109375" style="529" customWidth="1"/>
    <col min="1543" max="1543" width="9.7109375" style="529" customWidth="1"/>
    <col min="1544" max="1544" width="14.85546875" style="529" customWidth="1"/>
    <col min="1545" max="1545" width="14.140625" style="529" customWidth="1"/>
    <col min="1546" max="1546" width="9.7109375" style="529" customWidth="1"/>
    <col min="1547" max="1547" width="14" style="529" customWidth="1"/>
    <col min="1548" max="1548" width="13.42578125" style="529" customWidth="1"/>
    <col min="1549" max="1549" width="9.85546875" style="529" customWidth="1"/>
    <col min="1550" max="1550" width="13.28515625" style="529" customWidth="1"/>
    <col min="1551" max="1551" width="17.7109375" style="529" customWidth="1"/>
    <col min="1552" max="1552" width="10.140625" style="529" customWidth="1"/>
    <col min="1553" max="1553" width="18.5703125" style="529" customWidth="1"/>
    <col min="1554" max="1792" width="9.140625" style="529"/>
    <col min="1793" max="1793" width="5.5703125" style="529" customWidth="1"/>
    <col min="1794" max="1794" width="61" style="529" customWidth="1"/>
    <col min="1795" max="1795" width="18.5703125" style="529" customWidth="1"/>
    <col min="1796" max="1796" width="10.85546875" style="529" customWidth="1"/>
    <col min="1797" max="1797" width="17" style="529" customWidth="1"/>
    <col min="1798" max="1798" width="13.7109375" style="529" customWidth="1"/>
    <col min="1799" max="1799" width="9.7109375" style="529" customWidth="1"/>
    <col min="1800" max="1800" width="14.85546875" style="529" customWidth="1"/>
    <col min="1801" max="1801" width="14.140625" style="529" customWidth="1"/>
    <col min="1802" max="1802" width="9.7109375" style="529" customWidth="1"/>
    <col min="1803" max="1803" width="14" style="529" customWidth="1"/>
    <col min="1804" max="1804" width="13.42578125" style="529" customWidth="1"/>
    <col min="1805" max="1805" width="9.85546875" style="529" customWidth="1"/>
    <col min="1806" max="1806" width="13.28515625" style="529" customWidth="1"/>
    <col min="1807" max="1807" width="17.7109375" style="529" customWidth="1"/>
    <col min="1808" max="1808" width="10.140625" style="529" customWidth="1"/>
    <col min="1809" max="1809" width="18.5703125" style="529" customWidth="1"/>
    <col min="1810" max="2048" width="9.140625" style="529"/>
    <col min="2049" max="2049" width="5.5703125" style="529" customWidth="1"/>
    <col min="2050" max="2050" width="61" style="529" customWidth="1"/>
    <col min="2051" max="2051" width="18.5703125" style="529" customWidth="1"/>
    <col min="2052" max="2052" width="10.85546875" style="529" customWidth="1"/>
    <col min="2053" max="2053" width="17" style="529" customWidth="1"/>
    <col min="2054" max="2054" width="13.7109375" style="529" customWidth="1"/>
    <col min="2055" max="2055" width="9.7109375" style="529" customWidth="1"/>
    <col min="2056" max="2056" width="14.85546875" style="529" customWidth="1"/>
    <col min="2057" max="2057" width="14.140625" style="529" customWidth="1"/>
    <col min="2058" max="2058" width="9.7109375" style="529" customWidth="1"/>
    <col min="2059" max="2059" width="14" style="529" customWidth="1"/>
    <col min="2060" max="2060" width="13.42578125" style="529" customWidth="1"/>
    <col min="2061" max="2061" width="9.85546875" style="529" customWidth="1"/>
    <col min="2062" max="2062" width="13.28515625" style="529" customWidth="1"/>
    <col min="2063" max="2063" width="17.7109375" style="529" customWidth="1"/>
    <col min="2064" max="2064" width="10.140625" style="529" customWidth="1"/>
    <col min="2065" max="2065" width="18.5703125" style="529" customWidth="1"/>
    <col min="2066" max="2304" width="9.140625" style="529"/>
    <col min="2305" max="2305" width="5.5703125" style="529" customWidth="1"/>
    <col min="2306" max="2306" width="61" style="529" customWidth="1"/>
    <col min="2307" max="2307" width="18.5703125" style="529" customWidth="1"/>
    <col min="2308" max="2308" width="10.85546875" style="529" customWidth="1"/>
    <col min="2309" max="2309" width="17" style="529" customWidth="1"/>
    <col min="2310" max="2310" width="13.7109375" style="529" customWidth="1"/>
    <col min="2311" max="2311" width="9.7109375" style="529" customWidth="1"/>
    <col min="2312" max="2312" width="14.85546875" style="529" customWidth="1"/>
    <col min="2313" max="2313" width="14.140625" style="529" customWidth="1"/>
    <col min="2314" max="2314" width="9.7109375" style="529" customWidth="1"/>
    <col min="2315" max="2315" width="14" style="529" customWidth="1"/>
    <col min="2316" max="2316" width="13.42578125" style="529" customWidth="1"/>
    <col min="2317" max="2317" width="9.85546875" style="529" customWidth="1"/>
    <col min="2318" max="2318" width="13.28515625" style="529" customWidth="1"/>
    <col min="2319" max="2319" width="17.7109375" style="529" customWidth="1"/>
    <col min="2320" max="2320" width="10.140625" style="529" customWidth="1"/>
    <col min="2321" max="2321" width="18.5703125" style="529" customWidth="1"/>
    <col min="2322" max="2560" width="9.140625" style="529"/>
    <col min="2561" max="2561" width="5.5703125" style="529" customWidth="1"/>
    <col min="2562" max="2562" width="61" style="529" customWidth="1"/>
    <col min="2563" max="2563" width="18.5703125" style="529" customWidth="1"/>
    <col min="2564" max="2564" width="10.85546875" style="529" customWidth="1"/>
    <col min="2565" max="2565" width="17" style="529" customWidth="1"/>
    <col min="2566" max="2566" width="13.7109375" style="529" customWidth="1"/>
    <col min="2567" max="2567" width="9.7109375" style="529" customWidth="1"/>
    <col min="2568" max="2568" width="14.85546875" style="529" customWidth="1"/>
    <col min="2569" max="2569" width="14.140625" style="529" customWidth="1"/>
    <col min="2570" max="2570" width="9.7109375" style="529" customWidth="1"/>
    <col min="2571" max="2571" width="14" style="529" customWidth="1"/>
    <col min="2572" max="2572" width="13.42578125" style="529" customWidth="1"/>
    <col min="2573" max="2573" width="9.85546875" style="529" customWidth="1"/>
    <col min="2574" max="2574" width="13.28515625" style="529" customWidth="1"/>
    <col min="2575" max="2575" width="17.7109375" style="529" customWidth="1"/>
    <col min="2576" max="2576" width="10.140625" style="529" customWidth="1"/>
    <col min="2577" max="2577" width="18.5703125" style="529" customWidth="1"/>
    <col min="2578" max="2816" width="9.140625" style="529"/>
    <col min="2817" max="2817" width="5.5703125" style="529" customWidth="1"/>
    <col min="2818" max="2818" width="61" style="529" customWidth="1"/>
    <col min="2819" max="2819" width="18.5703125" style="529" customWidth="1"/>
    <col min="2820" max="2820" width="10.85546875" style="529" customWidth="1"/>
    <col min="2821" max="2821" width="17" style="529" customWidth="1"/>
    <col min="2822" max="2822" width="13.7109375" style="529" customWidth="1"/>
    <col min="2823" max="2823" width="9.7109375" style="529" customWidth="1"/>
    <col min="2824" max="2824" width="14.85546875" style="529" customWidth="1"/>
    <col min="2825" max="2825" width="14.140625" style="529" customWidth="1"/>
    <col min="2826" max="2826" width="9.7109375" style="529" customWidth="1"/>
    <col min="2827" max="2827" width="14" style="529" customWidth="1"/>
    <col min="2828" max="2828" width="13.42578125" style="529" customWidth="1"/>
    <col min="2829" max="2829" width="9.85546875" style="529" customWidth="1"/>
    <col min="2830" max="2830" width="13.28515625" style="529" customWidth="1"/>
    <col min="2831" max="2831" width="17.7109375" style="529" customWidth="1"/>
    <col min="2832" max="2832" width="10.140625" style="529" customWidth="1"/>
    <col min="2833" max="2833" width="18.5703125" style="529" customWidth="1"/>
    <col min="2834" max="3072" width="9.140625" style="529"/>
    <col min="3073" max="3073" width="5.5703125" style="529" customWidth="1"/>
    <col min="3074" max="3074" width="61" style="529" customWidth="1"/>
    <col min="3075" max="3075" width="18.5703125" style="529" customWidth="1"/>
    <col min="3076" max="3076" width="10.85546875" style="529" customWidth="1"/>
    <col min="3077" max="3077" width="17" style="529" customWidth="1"/>
    <col min="3078" max="3078" width="13.7109375" style="529" customWidth="1"/>
    <col min="3079" max="3079" width="9.7109375" style="529" customWidth="1"/>
    <col min="3080" max="3080" width="14.85546875" style="529" customWidth="1"/>
    <col min="3081" max="3081" width="14.140625" style="529" customWidth="1"/>
    <col min="3082" max="3082" width="9.7109375" style="529" customWidth="1"/>
    <col min="3083" max="3083" width="14" style="529" customWidth="1"/>
    <col min="3084" max="3084" width="13.42578125" style="529" customWidth="1"/>
    <col min="3085" max="3085" width="9.85546875" style="529" customWidth="1"/>
    <col min="3086" max="3086" width="13.28515625" style="529" customWidth="1"/>
    <col min="3087" max="3087" width="17.7109375" style="529" customWidth="1"/>
    <col min="3088" max="3088" width="10.140625" style="529" customWidth="1"/>
    <col min="3089" max="3089" width="18.5703125" style="529" customWidth="1"/>
    <col min="3090" max="3328" width="9.140625" style="529"/>
    <col min="3329" max="3329" width="5.5703125" style="529" customWidth="1"/>
    <col min="3330" max="3330" width="61" style="529" customWidth="1"/>
    <col min="3331" max="3331" width="18.5703125" style="529" customWidth="1"/>
    <col min="3332" max="3332" width="10.85546875" style="529" customWidth="1"/>
    <col min="3333" max="3333" width="17" style="529" customWidth="1"/>
    <col min="3334" max="3334" width="13.7109375" style="529" customWidth="1"/>
    <col min="3335" max="3335" width="9.7109375" style="529" customWidth="1"/>
    <col min="3336" max="3336" width="14.85546875" style="529" customWidth="1"/>
    <col min="3337" max="3337" width="14.140625" style="529" customWidth="1"/>
    <col min="3338" max="3338" width="9.7109375" style="529" customWidth="1"/>
    <col min="3339" max="3339" width="14" style="529" customWidth="1"/>
    <col min="3340" max="3340" width="13.42578125" style="529" customWidth="1"/>
    <col min="3341" max="3341" width="9.85546875" style="529" customWidth="1"/>
    <col min="3342" max="3342" width="13.28515625" style="529" customWidth="1"/>
    <col min="3343" max="3343" width="17.7109375" style="529" customWidth="1"/>
    <col min="3344" max="3344" width="10.140625" style="529" customWidth="1"/>
    <col min="3345" max="3345" width="18.5703125" style="529" customWidth="1"/>
    <col min="3346" max="3584" width="9.140625" style="529"/>
    <col min="3585" max="3585" width="5.5703125" style="529" customWidth="1"/>
    <col min="3586" max="3586" width="61" style="529" customWidth="1"/>
    <col min="3587" max="3587" width="18.5703125" style="529" customWidth="1"/>
    <col min="3588" max="3588" width="10.85546875" style="529" customWidth="1"/>
    <col min="3589" max="3589" width="17" style="529" customWidth="1"/>
    <col min="3590" max="3590" width="13.7109375" style="529" customWidth="1"/>
    <col min="3591" max="3591" width="9.7109375" style="529" customWidth="1"/>
    <col min="3592" max="3592" width="14.85546875" style="529" customWidth="1"/>
    <col min="3593" max="3593" width="14.140625" style="529" customWidth="1"/>
    <col min="3594" max="3594" width="9.7109375" style="529" customWidth="1"/>
    <col min="3595" max="3595" width="14" style="529" customWidth="1"/>
    <col min="3596" max="3596" width="13.42578125" style="529" customWidth="1"/>
    <col min="3597" max="3597" width="9.85546875" style="529" customWidth="1"/>
    <col min="3598" max="3598" width="13.28515625" style="529" customWidth="1"/>
    <col min="3599" max="3599" width="17.7109375" style="529" customWidth="1"/>
    <col min="3600" max="3600" width="10.140625" style="529" customWidth="1"/>
    <col min="3601" max="3601" width="18.5703125" style="529" customWidth="1"/>
    <col min="3602" max="3840" width="9.140625" style="529"/>
    <col min="3841" max="3841" width="5.5703125" style="529" customWidth="1"/>
    <col min="3842" max="3842" width="61" style="529" customWidth="1"/>
    <col min="3843" max="3843" width="18.5703125" style="529" customWidth="1"/>
    <col min="3844" max="3844" width="10.85546875" style="529" customWidth="1"/>
    <col min="3845" max="3845" width="17" style="529" customWidth="1"/>
    <col min="3846" max="3846" width="13.7109375" style="529" customWidth="1"/>
    <col min="3847" max="3847" width="9.7109375" style="529" customWidth="1"/>
    <col min="3848" max="3848" width="14.85546875" style="529" customWidth="1"/>
    <col min="3849" max="3849" width="14.140625" style="529" customWidth="1"/>
    <col min="3850" max="3850" width="9.7109375" style="529" customWidth="1"/>
    <col min="3851" max="3851" width="14" style="529" customWidth="1"/>
    <col min="3852" max="3852" width="13.42578125" style="529" customWidth="1"/>
    <col min="3853" max="3853" width="9.85546875" style="529" customWidth="1"/>
    <col min="3854" max="3854" width="13.28515625" style="529" customWidth="1"/>
    <col min="3855" max="3855" width="17.7109375" style="529" customWidth="1"/>
    <col min="3856" max="3856" width="10.140625" style="529" customWidth="1"/>
    <col min="3857" max="3857" width="18.5703125" style="529" customWidth="1"/>
    <col min="3858" max="4096" width="9.140625" style="529"/>
    <col min="4097" max="4097" width="5.5703125" style="529" customWidth="1"/>
    <col min="4098" max="4098" width="61" style="529" customWidth="1"/>
    <col min="4099" max="4099" width="18.5703125" style="529" customWidth="1"/>
    <col min="4100" max="4100" width="10.85546875" style="529" customWidth="1"/>
    <col min="4101" max="4101" width="17" style="529" customWidth="1"/>
    <col min="4102" max="4102" width="13.7109375" style="529" customWidth="1"/>
    <col min="4103" max="4103" width="9.7109375" style="529" customWidth="1"/>
    <col min="4104" max="4104" width="14.85546875" style="529" customWidth="1"/>
    <col min="4105" max="4105" width="14.140625" style="529" customWidth="1"/>
    <col min="4106" max="4106" width="9.7109375" style="529" customWidth="1"/>
    <col min="4107" max="4107" width="14" style="529" customWidth="1"/>
    <col min="4108" max="4108" width="13.42578125" style="529" customWidth="1"/>
    <col min="4109" max="4109" width="9.85546875" style="529" customWidth="1"/>
    <col min="4110" max="4110" width="13.28515625" style="529" customWidth="1"/>
    <col min="4111" max="4111" width="17.7109375" style="529" customWidth="1"/>
    <col min="4112" max="4112" width="10.140625" style="529" customWidth="1"/>
    <col min="4113" max="4113" width="18.5703125" style="529" customWidth="1"/>
    <col min="4114" max="4352" width="9.140625" style="529"/>
    <col min="4353" max="4353" width="5.5703125" style="529" customWidth="1"/>
    <col min="4354" max="4354" width="61" style="529" customWidth="1"/>
    <col min="4355" max="4355" width="18.5703125" style="529" customWidth="1"/>
    <col min="4356" max="4356" width="10.85546875" style="529" customWidth="1"/>
    <col min="4357" max="4357" width="17" style="529" customWidth="1"/>
    <col min="4358" max="4358" width="13.7109375" style="529" customWidth="1"/>
    <col min="4359" max="4359" width="9.7109375" style="529" customWidth="1"/>
    <col min="4360" max="4360" width="14.85546875" style="529" customWidth="1"/>
    <col min="4361" max="4361" width="14.140625" style="529" customWidth="1"/>
    <col min="4362" max="4362" width="9.7109375" style="529" customWidth="1"/>
    <col min="4363" max="4363" width="14" style="529" customWidth="1"/>
    <col min="4364" max="4364" width="13.42578125" style="529" customWidth="1"/>
    <col min="4365" max="4365" width="9.85546875" style="529" customWidth="1"/>
    <col min="4366" max="4366" width="13.28515625" style="529" customWidth="1"/>
    <col min="4367" max="4367" width="17.7109375" style="529" customWidth="1"/>
    <col min="4368" max="4368" width="10.140625" style="529" customWidth="1"/>
    <col min="4369" max="4369" width="18.5703125" style="529" customWidth="1"/>
    <col min="4370" max="4608" width="9.140625" style="529"/>
    <col min="4609" max="4609" width="5.5703125" style="529" customWidth="1"/>
    <col min="4610" max="4610" width="61" style="529" customWidth="1"/>
    <col min="4611" max="4611" width="18.5703125" style="529" customWidth="1"/>
    <col min="4612" max="4612" width="10.85546875" style="529" customWidth="1"/>
    <col min="4613" max="4613" width="17" style="529" customWidth="1"/>
    <col min="4614" max="4614" width="13.7109375" style="529" customWidth="1"/>
    <col min="4615" max="4615" width="9.7109375" style="529" customWidth="1"/>
    <col min="4616" max="4616" width="14.85546875" style="529" customWidth="1"/>
    <col min="4617" max="4617" width="14.140625" style="529" customWidth="1"/>
    <col min="4618" max="4618" width="9.7109375" style="529" customWidth="1"/>
    <col min="4619" max="4619" width="14" style="529" customWidth="1"/>
    <col min="4620" max="4620" width="13.42578125" style="529" customWidth="1"/>
    <col min="4621" max="4621" width="9.85546875" style="529" customWidth="1"/>
    <col min="4622" max="4622" width="13.28515625" style="529" customWidth="1"/>
    <col min="4623" max="4623" width="17.7109375" style="529" customWidth="1"/>
    <col min="4624" max="4624" width="10.140625" style="529" customWidth="1"/>
    <col min="4625" max="4625" width="18.5703125" style="529" customWidth="1"/>
    <col min="4626" max="4864" width="9.140625" style="529"/>
    <col min="4865" max="4865" width="5.5703125" style="529" customWidth="1"/>
    <col min="4866" max="4866" width="61" style="529" customWidth="1"/>
    <col min="4867" max="4867" width="18.5703125" style="529" customWidth="1"/>
    <col min="4868" max="4868" width="10.85546875" style="529" customWidth="1"/>
    <col min="4869" max="4869" width="17" style="529" customWidth="1"/>
    <col min="4870" max="4870" width="13.7109375" style="529" customWidth="1"/>
    <col min="4871" max="4871" width="9.7109375" style="529" customWidth="1"/>
    <col min="4872" max="4872" width="14.85546875" style="529" customWidth="1"/>
    <col min="4873" max="4873" width="14.140625" style="529" customWidth="1"/>
    <col min="4874" max="4874" width="9.7109375" style="529" customWidth="1"/>
    <col min="4875" max="4875" width="14" style="529" customWidth="1"/>
    <col min="4876" max="4876" width="13.42578125" style="529" customWidth="1"/>
    <col min="4877" max="4877" width="9.85546875" style="529" customWidth="1"/>
    <col min="4878" max="4878" width="13.28515625" style="529" customWidth="1"/>
    <col min="4879" max="4879" width="17.7109375" style="529" customWidth="1"/>
    <col min="4880" max="4880" width="10.140625" style="529" customWidth="1"/>
    <col min="4881" max="4881" width="18.5703125" style="529" customWidth="1"/>
    <col min="4882" max="5120" width="9.140625" style="529"/>
    <col min="5121" max="5121" width="5.5703125" style="529" customWidth="1"/>
    <col min="5122" max="5122" width="61" style="529" customWidth="1"/>
    <col min="5123" max="5123" width="18.5703125" style="529" customWidth="1"/>
    <col min="5124" max="5124" width="10.85546875" style="529" customWidth="1"/>
    <col min="5125" max="5125" width="17" style="529" customWidth="1"/>
    <col min="5126" max="5126" width="13.7109375" style="529" customWidth="1"/>
    <col min="5127" max="5127" width="9.7109375" style="529" customWidth="1"/>
    <col min="5128" max="5128" width="14.85546875" style="529" customWidth="1"/>
    <col min="5129" max="5129" width="14.140625" style="529" customWidth="1"/>
    <col min="5130" max="5130" width="9.7109375" style="529" customWidth="1"/>
    <col min="5131" max="5131" width="14" style="529" customWidth="1"/>
    <col min="5132" max="5132" width="13.42578125" style="529" customWidth="1"/>
    <col min="5133" max="5133" width="9.85546875" style="529" customWidth="1"/>
    <col min="5134" max="5134" width="13.28515625" style="529" customWidth="1"/>
    <col min="5135" max="5135" width="17.7109375" style="529" customWidth="1"/>
    <col min="5136" max="5136" width="10.140625" style="529" customWidth="1"/>
    <col min="5137" max="5137" width="18.5703125" style="529" customWidth="1"/>
    <col min="5138" max="5376" width="9.140625" style="529"/>
    <col min="5377" max="5377" width="5.5703125" style="529" customWidth="1"/>
    <col min="5378" max="5378" width="61" style="529" customWidth="1"/>
    <col min="5379" max="5379" width="18.5703125" style="529" customWidth="1"/>
    <col min="5380" max="5380" width="10.85546875" style="529" customWidth="1"/>
    <col min="5381" max="5381" width="17" style="529" customWidth="1"/>
    <col min="5382" max="5382" width="13.7109375" style="529" customWidth="1"/>
    <col min="5383" max="5383" width="9.7109375" style="529" customWidth="1"/>
    <col min="5384" max="5384" width="14.85546875" style="529" customWidth="1"/>
    <col min="5385" max="5385" width="14.140625" style="529" customWidth="1"/>
    <col min="5386" max="5386" width="9.7109375" style="529" customWidth="1"/>
    <col min="5387" max="5387" width="14" style="529" customWidth="1"/>
    <col min="5388" max="5388" width="13.42578125" style="529" customWidth="1"/>
    <col min="5389" max="5389" width="9.85546875" style="529" customWidth="1"/>
    <col min="5390" max="5390" width="13.28515625" style="529" customWidth="1"/>
    <col min="5391" max="5391" width="17.7109375" style="529" customWidth="1"/>
    <col min="5392" max="5392" width="10.140625" style="529" customWidth="1"/>
    <col min="5393" max="5393" width="18.5703125" style="529" customWidth="1"/>
    <col min="5394" max="5632" width="9.140625" style="529"/>
    <col min="5633" max="5633" width="5.5703125" style="529" customWidth="1"/>
    <col min="5634" max="5634" width="61" style="529" customWidth="1"/>
    <col min="5635" max="5635" width="18.5703125" style="529" customWidth="1"/>
    <col min="5636" max="5636" width="10.85546875" style="529" customWidth="1"/>
    <col min="5637" max="5637" width="17" style="529" customWidth="1"/>
    <col min="5638" max="5638" width="13.7109375" style="529" customWidth="1"/>
    <col min="5639" max="5639" width="9.7109375" style="529" customWidth="1"/>
    <col min="5640" max="5640" width="14.85546875" style="529" customWidth="1"/>
    <col min="5641" max="5641" width="14.140625" style="529" customWidth="1"/>
    <col min="5642" max="5642" width="9.7109375" style="529" customWidth="1"/>
    <col min="5643" max="5643" width="14" style="529" customWidth="1"/>
    <col min="5644" max="5644" width="13.42578125" style="529" customWidth="1"/>
    <col min="5645" max="5645" width="9.85546875" style="529" customWidth="1"/>
    <col min="5646" max="5646" width="13.28515625" style="529" customWidth="1"/>
    <col min="5647" max="5647" width="17.7109375" style="529" customWidth="1"/>
    <col min="5648" max="5648" width="10.140625" style="529" customWidth="1"/>
    <col min="5649" max="5649" width="18.5703125" style="529" customWidth="1"/>
    <col min="5650" max="5888" width="9.140625" style="529"/>
    <col min="5889" max="5889" width="5.5703125" style="529" customWidth="1"/>
    <col min="5890" max="5890" width="61" style="529" customWidth="1"/>
    <col min="5891" max="5891" width="18.5703125" style="529" customWidth="1"/>
    <col min="5892" max="5892" width="10.85546875" style="529" customWidth="1"/>
    <col min="5893" max="5893" width="17" style="529" customWidth="1"/>
    <col min="5894" max="5894" width="13.7109375" style="529" customWidth="1"/>
    <col min="5895" max="5895" width="9.7109375" style="529" customWidth="1"/>
    <col min="5896" max="5896" width="14.85546875" style="529" customWidth="1"/>
    <col min="5897" max="5897" width="14.140625" style="529" customWidth="1"/>
    <col min="5898" max="5898" width="9.7109375" style="529" customWidth="1"/>
    <col min="5899" max="5899" width="14" style="529" customWidth="1"/>
    <col min="5900" max="5900" width="13.42578125" style="529" customWidth="1"/>
    <col min="5901" max="5901" width="9.85546875" style="529" customWidth="1"/>
    <col min="5902" max="5902" width="13.28515625" style="529" customWidth="1"/>
    <col min="5903" max="5903" width="17.7109375" style="529" customWidth="1"/>
    <col min="5904" max="5904" width="10.140625" style="529" customWidth="1"/>
    <col min="5905" max="5905" width="18.5703125" style="529" customWidth="1"/>
    <col min="5906" max="6144" width="9.140625" style="529"/>
    <col min="6145" max="6145" width="5.5703125" style="529" customWidth="1"/>
    <col min="6146" max="6146" width="61" style="529" customWidth="1"/>
    <col min="6147" max="6147" width="18.5703125" style="529" customWidth="1"/>
    <col min="6148" max="6148" width="10.85546875" style="529" customWidth="1"/>
    <col min="6149" max="6149" width="17" style="529" customWidth="1"/>
    <col min="6150" max="6150" width="13.7109375" style="529" customWidth="1"/>
    <col min="6151" max="6151" width="9.7109375" style="529" customWidth="1"/>
    <col min="6152" max="6152" width="14.85546875" style="529" customWidth="1"/>
    <col min="6153" max="6153" width="14.140625" style="529" customWidth="1"/>
    <col min="6154" max="6154" width="9.7109375" style="529" customWidth="1"/>
    <col min="6155" max="6155" width="14" style="529" customWidth="1"/>
    <col min="6156" max="6156" width="13.42578125" style="529" customWidth="1"/>
    <col min="6157" max="6157" width="9.85546875" style="529" customWidth="1"/>
    <col min="6158" max="6158" width="13.28515625" style="529" customWidth="1"/>
    <col min="6159" max="6159" width="17.7109375" style="529" customWidth="1"/>
    <col min="6160" max="6160" width="10.140625" style="529" customWidth="1"/>
    <col min="6161" max="6161" width="18.5703125" style="529" customWidth="1"/>
    <col min="6162" max="6400" width="9.140625" style="529"/>
    <col min="6401" max="6401" width="5.5703125" style="529" customWidth="1"/>
    <col min="6402" max="6402" width="61" style="529" customWidth="1"/>
    <col min="6403" max="6403" width="18.5703125" style="529" customWidth="1"/>
    <col min="6404" max="6404" width="10.85546875" style="529" customWidth="1"/>
    <col min="6405" max="6405" width="17" style="529" customWidth="1"/>
    <col min="6406" max="6406" width="13.7109375" style="529" customWidth="1"/>
    <col min="6407" max="6407" width="9.7109375" style="529" customWidth="1"/>
    <col min="6408" max="6408" width="14.85546875" style="529" customWidth="1"/>
    <col min="6409" max="6409" width="14.140625" style="529" customWidth="1"/>
    <col min="6410" max="6410" width="9.7109375" style="529" customWidth="1"/>
    <col min="6411" max="6411" width="14" style="529" customWidth="1"/>
    <col min="6412" max="6412" width="13.42578125" style="529" customWidth="1"/>
    <col min="6413" max="6413" width="9.85546875" style="529" customWidth="1"/>
    <col min="6414" max="6414" width="13.28515625" style="529" customWidth="1"/>
    <col min="6415" max="6415" width="17.7109375" style="529" customWidth="1"/>
    <col min="6416" max="6416" width="10.140625" style="529" customWidth="1"/>
    <col min="6417" max="6417" width="18.5703125" style="529" customWidth="1"/>
    <col min="6418" max="6656" width="9.140625" style="529"/>
    <col min="6657" max="6657" width="5.5703125" style="529" customWidth="1"/>
    <col min="6658" max="6658" width="61" style="529" customWidth="1"/>
    <col min="6659" max="6659" width="18.5703125" style="529" customWidth="1"/>
    <col min="6660" max="6660" width="10.85546875" style="529" customWidth="1"/>
    <col min="6661" max="6661" width="17" style="529" customWidth="1"/>
    <col min="6662" max="6662" width="13.7109375" style="529" customWidth="1"/>
    <col min="6663" max="6663" width="9.7109375" style="529" customWidth="1"/>
    <col min="6664" max="6664" width="14.85546875" style="529" customWidth="1"/>
    <col min="6665" max="6665" width="14.140625" style="529" customWidth="1"/>
    <col min="6666" max="6666" width="9.7109375" style="529" customWidth="1"/>
    <col min="6667" max="6667" width="14" style="529" customWidth="1"/>
    <col min="6668" max="6668" width="13.42578125" style="529" customWidth="1"/>
    <col min="6669" max="6669" width="9.85546875" style="529" customWidth="1"/>
    <col min="6670" max="6670" width="13.28515625" style="529" customWidth="1"/>
    <col min="6671" max="6671" width="17.7109375" style="529" customWidth="1"/>
    <col min="6672" max="6672" width="10.140625" style="529" customWidth="1"/>
    <col min="6673" max="6673" width="18.5703125" style="529" customWidth="1"/>
    <col min="6674" max="6912" width="9.140625" style="529"/>
    <col min="6913" max="6913" width="5.5703125" style="529" customWidth="1"/>
    <col min="6914" max="6914" width="61" style="529" customWidth="1"/>
    <col min="6915" max="6915" width="18.5703125" style="529" customWidth="1"/>
    <col min="6916" max="6916" width="10.85546875" style="529" customWidth="1"/>
    <col min="6917" max="6917" width="17" style="529" customWidth="1"/>
    <col min="6918" max="6918" width="13.7109375" style="529" customWidth="1"/>
    <col min="6919" max="6919" width="9.7109375" style="529" customWidth="1"/>
    <col min="6920" max="6920" width="14.85546875" style="529" customWidth="1"/>
    <col min="6921" max="6921" width="14.140625" style="529" customWidth="1"/>
    <col min="6922" max="6922" width="9.7109375" style="529" customWidth="1"/>
    <col min="6923" max="6923" width="14" style="529" customWidth="1"/>
    <col min="6924" max="6924" width="13.42578125" style="529" customWidth="1"/>
    <col min="6925" max="6925" width="9.85546875" style="529" customWidth="1"/>
    <col min="6926" max="6926" width="13.28515625" style="529" customWidth="1"/>
    <col min="6927" max="6927" width="17.7109375" style="529" customWidth="1"/>
    <col min="6928" max="6928" width="10.140625" style="529" customWidth="1"/>
    <col min="6929" max="6929" width="18.5703125" style="529" customWidth="1"/>
    <col min="6930" max="7168" width="9.140625" style="529"/>
    <col min="7169" max="7169" width="5.5703125" style="529" customWidth="1"/>
    <col min="7170" max="7170" width="61" style="529" customWidth="1"/>
    <col min="7171" max="7171" width="18.5703125" style="529" customWidth="1"/>
    <col min="7172" max="7172" width="10.85546875" style="529" customWidth="1"/>
    <col min="7173" max="7173" width="17" style="529" customWidth="1"/>
    <col min="7174" max="7174" width="13.7109375" style="529" customWidth="1"/>
    <col min="7175" max="7175" width="9.7109375" style="529" customWidth="1"/>
    <col min="7176" max="7176" width="14.85546875" style="529" customWidth="1"/>
    <col min="7177" max="7177" width="14.140625" style="529" customWidth="1"/>
    <col min="7178" max="7178" width="9.7109375" style="529" customWidth="1"/>
    <col min="7179" max="7179" width="14" style="529" customWidth="1"/>
    <col min="7180" max="7180" width="13.42578125" style="529" customWidth="1"/>
    <col min="7181" max="7181" width="9.85546875" style="529" customWidth="1"/>
    <col min="7182" max="7182" width="13.28515625" style="529" customWidth="1"/>
    <col min="7183" max="7183" width="17.7109375" style="529" customWidth="1"/>
    <col min="7184" max="7184" width="10.140625" style="529" customWidth="1"/>
    <col min="7185" max="7185" width="18.5703125" style="529" customWidth="1"/>
    <col min="7186" max="7424" width="9.140625" style="529"/>
    <col min="7425" max="7425" width="5.5703125" style="529" customWidth="1"/>
    <col min="7426" max="7426" width="61" style="529" customWidth="1"/>
    <col min="7427" max="7427" width="18.5703125" style="529" customWidth="1"/>
    <col min="7428" max="7428" width="10.85546875" style="529" customWidth="1"/>
    <col min="7429" max="7429" width="17" style="529" customWidth="1"/>
    <col min="7430" max="7430" width="13.7109375" style="529" customWidth="1"/>
    <col min="7431" max="7431" width="9.7109375" style="529" customWidth="1"/>
    <col min="7432" max="7432" width="14.85546875" style="529" customWidth="1"/>
    <col min="7433" max="7433" width="14.140625" style="529" customWidth="1"/>
    <col min="7434" max="7434" width="9.7109375" style="529" customWidth="1"/>
    <col min="7435" max="7435" width="14" style="529" customWidth="1"/>
    <col min="7436" max="7436" width="13.42578125" style="529" customWidth="1"/>
    <col min="7437" max="7437" width="9.85546875" style="529" customWidth="1"/>
    <col min="7438" max="7438" width="13.28515625" style="529" customWidth="1"/>
    <col min="7439" max="7439" width="17.7109375" style="529" customWidth="1"/>
    <col min="7440" max="7440" width="10.140625" style="529" customWidth="1"/>
    <col min="7441" max="7441" width="18.5703125" style="529" customWidth="1"/>
    <col min="7442" max="7680" width="9.140625" style="529"/>
    <col min="7681" max="7681" width="5.5703125" style="529" customWidth="1"/>
    <col min="7682" max="7682" width="61" style="529" customWidth="1"/>
    <col min="7683" max="7683" width="18.5703125" style="529" customWidth="1"/>
    <col min="7684" max="7684" width="10.85546875" style="529" customWidth="1"/>
    <col min="7685" max="7685" width="17" style="529" customWidth="1"/>
    <col min="7686" max="7686" width="13.7109375" style="529" customWidth="1"/>
    <col min="7687" max="7687" width="9.7109375" style="529" customWidth="1"/>
    <col min="7688" max="7688" width="14.85546875" style="529" customWidth="1"/>
    <col min="7689" max="7689" width="14.140625" style="529" customWidth="1"/>
    <col min="7690" max="7690" width="9.7109375" style="529" customWidth="1"/>
    <col min="7691" max="7691" width="14" style="529" customWidth="1"/>
    <col min="7692" max="7692" width="13.42578125" style="529" customWidth="1"/>
    <col min="7693" max="7693" width="9.85546875" style="529" customWidth="1"/>
    <col min="7694" max="7694" width="13.28515625" style="529" customWidth="1"/>
    <col min="7695" max="7695" width="17.7109375" style="529" customWidth="1"/>
    <col min="7696" max="7696" width="10.140625" style="529" customWidth="1"/>
    <col min="7697" max="7697" width="18.5703125" style="529" customWidth="1"/>
    <col min="7698" max="7936" width="9.140625" style="529"/>
    <col min="7937" max="7937" width="5.5703125" style="529" customWidth="1"/>
    <col min="7938" max="7938" width="61" style="529" customWidth="1"/>
    <col min="7939" max="7939" width="18.5703125" style="529" customWidth="1"/>
    <col min="7940" max="7940" width="10.85546875" style="529" customWidth="1"/>
    <col min="7941" max="7941" width="17" style="529" customWidth="1"/>
    <col min="7942" max="7942" width="13.7109375" style="529" customWidth="1"/>
    <col min="7943" max="7943" width="9.7109375" style="529" customWidth="1"/>
    <col min="7944" max="7944" width="14.85546875" style="529" customWidth="1"/>
    <col min="7945" max="7945" width="14.140625" style="529" customWidth="1"/>
    <col min="7946" max="7946" width="9.7109375" style="529" customWidth="1"/>
    <col min="7947" max="7947" width="14" style="529" customWidth="1"/>
    <col min="7948" max="7948" width="13.42578125" style="529" customWidth="1"/>
    <col min="7949" max="7949" width="9.85546875" style="529" customWidth="1"/>
    <col min="7950" max="7950" width="13.28515625" style="529" customWidth="1"/>
    <col min="7951" max="7951" width="17.7109375" style="529" customWidth="1"/>
    <col min="7952" max="7952" width="10.140625" style="529" customWidth="1"/>
    <col min="7953" max="7953" width="18.5703125" style="529" customWidth="1"/>
    <col min="7954" max="8192" width="9.140625" style="529"/>
    <col min="8193" max="8193" width="5.5703125" style="529" customWidth="1"/>
    <col min="8194" max="8194" width="61" style="529" customWidth="1"/>
    <col min="8195" max="8195" width="18.5703125" style="529" customWidth="1"/>
    <col min="8196" max="8196" width="10.85546875" style="529" customWidth="1"/>
    <col min="8197" max="8197" width="17" style="529" customWidth="1"/>
    <col min="8198" max="8198" width="13.7109375" style="529" customWidth="1"/>
    <col min="8199" max="8199" width="9.7109375" style="529" customWidth="1"/>
    <col min="8200" max="8200" width="14.85546875" style="529" customWidth="1"/>
    <col min="8201" max="8201" width="14.140625" style="529" customWidth="1"/>
    <col min="8202" max="8202" width="9.7109375" style="529" customWidth="1"/>
    <col min="8203" max="8203" width="14" style="529" customWidth="1"/>
    <col min="8204" max="8204" width="13.42578125" style="529" customWidth="1"/>
    <col min="8205" max="8205" width="9.85546875" style="529" customWidth="1"/>
    <col min="8206" max="8206" width="13.28515625" style="529" customWidth="1"/>
    <col min="8207" max="8207" width="17.7109375" style="529" customWidth="1"/>
    <col min="8208" max="8208" width="10.140625" style="529" customWidth="1"/>
    <col min="8209" max="8209" width="18.5703125" style="529" customWidth="1"/>
    <col min="8210" max="8448" width="9.140625" style="529"/>
    <col min="8449" max="8449" width="5.5703125" style="529" customWidth="1"/>
    <col min="8450" max="8450" width="61" style="529" customWidth="1"/>
    <col min="8451" max="8451" width="18.5703125" style="529" customWidth="1"/>
    <col min="8452" max="8452" width="10.85546875" style="529" customWidth="1"/>
    <col min="8453" max="8453" width="17" style="529" customWidth="1"/>
    <col min="8454" max="8454" width="13.7109375" style="529" customWidth="1"/>
    <col min="8455" max="8455" width="9.7109375" style="529" customWidth="1"/>
    <col min="8456" max="8456" width="14.85546875" style="529" customWidth="1"/>
    <col min="8457" max="8457" width="14.140625" style="529" customWidth="1"/>
    <col min="8458" max="8458" width="9.7109375" style="529" customWidth="1"/>
    <col min="8459" max="8459" width="14" style="529" customWidth="1"/>
    <col min="8460" max="8460" width="13.42578125" style="529" customWidth="1"/>
    <col min="8461" max="8461" width="9.85546875" style="529" customWidth="1"/>
    <col min="8462" max="8462" width="13.28515625" style="529" customWidth="1"/>
    <col min="8463" max="8463" width="17.7109375" style="529" customWidth="1"/>
    <col min="8464" max="8464" width="10.140625" style="529" customWidth="1"/>
    <col min="8465" max="8465" width="18.5703125" style="529" customWidth="1"/>
    <col min="8466" max="8704" width="9.140625" style="529"/>
    <col min="8705" max="8705" width="5.5703125" style="529" customWidth="1"/>
    <col min="8706" max="8706" width="61" style="529" customWidth="1"/>
    <col min="8707" max="8707" width="18.5703125" style="529" customWidth="1"/>
    <col min="8708" max="8708" width="10.85546875" style="529" customWidth="1"/>
    <col min="8709" max="8709" width="17" style="529" customWidth="1"/>
    <col min="8710" max="8710" width="13.7109375" style="529" customWidth="1"/>
    <col min="8711" max="8711" width="9.7109375" style="529" customWidth="1"/>
    <col min="8712" max="8712" width="14.85546875" style="529" customWidth="1"/>
    <col min="8713" max="8713" width="14.140625" style="529" customWidth="1"/>
    <col min="8714" max="8714" width="9.7109375" style="529" customWidth="1"/>
    <col min="8715" max="8715" width="14" style="529" customWidth="1"/>
    <col min="8716" max="8716" width="13.42578125" style="529" customWidth="1"/>
    <col min="8717" max="8717" width="9.85546875" style="529" customWidth="1"/>
    <col min="8718" max="8718" width="13.28515625" style="529" customWidth="1"/>
    <col min="8719" max="8719" width="17.7109375" style="529" customWidth="1"/>
    <col min="8720" max="8720" width="10.140625" style="529" customWidth="1"/>
    <col min="8721" max="8721" width="18.5703125" style="529" customWidth="1"/>
    <col min="8722" max="8960" width="9.140625" style="529"/>
    <col min="8961" max="8961" width="5.5703125" style="529" customWidth="1"/>
    <col min="8962" max="8962" width="61" style="529" customWidth="1"/>
    <col min="8963" max="8963" width="18.5703125" style="529" customWidth="1"/>
    <col min="8964" max="8964" width="10.85546875" style="529" customWidth="1"/>
    <col min="8965" max="8965" width="17" style="529" customWidth="1"/>
    <col min="8966" max="8966" width="13.7109375" style="529" customWidth="1"/>
    <col min="8967" max="8967" width="9.7109375" style="529" customWidth="1"/>
    <col min="8968" max="8968" width="14.85546875" style="529" customWidth="1"/>
    <col min="8969" max="8969" width="14.140625" style="529" customWidth="1"/>
    <col min="8970" max="8970" width="9.7109375" style="529" customWidth="1"/>
    <col min="8971" max="8971" width="14" style="529" customWidth="1"/>
    <col min="8972" max="8972" width="13.42578125" style="529" customWidth="1"/>
    <col min="8973" max="8973" width="9.85546875" style="529" customWidth="1"/>
    <col min="8974" max="8974" width="13.28515625" style="529" customWidth="1"/>
    <col min="8975" max="8975" width="17.7109375" style="529" customWidth="1"/>
    <col min="8976" max="8976" width="10.140625" style="529" customWidth="1"/>
    <col min="8977" max="8977" width="18.5703125" style="529" customWidth="1"/>
    <col min="8978" max="9216" width="9.140625" style="529"/>
    <col min="9217" max="9217" width="5.5703125" style="529" customWidth="1"/>
    <col min="9218" max="9218" width="61" style="529" customWidth="1"/>
    <col min="9219" max="9219" width="18.5703125" style="529" customWidth="1"/>
    <col min="9220" max="9220" width="10.85546875" style="529" customWidth="1"/>
    <col min="9221" max="9221" width="17" style="529" customWidth="1"/>
    <col min="9222" max="9222" width="13.7109375" style="529" customWidth="1"/>
    <col min="9223" max="9223" width="9.7109375" style="529" customWidth="1"/>
    <col min="9224" max="9224" width="14.85546875" style="529" customWidth="1"/>
    <col min="9225" max="9225" width="14.140625" style="529" customWidth="1"/>
    <col min="9226" max="9226" width="9.7109375" style="529" customWidth="1"/>
    <col min="9227" max="9227" width="14" style="529" customWidth="1"/>
    <col min="9228" max="9228" width="13.42578125" style="529" customWidth="1"/>
    <col min="9229" max="9229" width="9.85546875" style="529" customWidth="1"/>
    <col min="9230" max="9230" width="13.28515625" style="529" customWidth="1"/>
    <col min="9231" max="9231" width="17.7109375" style="529" customWidth="1"/>
    <col min="9232" max="9232" width="10.140625" style="529" customWidth="1"/>
    <col min="9233" max="9233" width="18.5703125" style="529" customWidth="1"/>
    <col min="9234" max="9472" width="9.140625" style="529"/>
    <col min="9473" max="9473" width="5.5703125" style="529" customWidth="1"/>
    <col min="9474" max="9474" width="61" style="529" customWidth="1"/>
    <col min="9475" max="9475" width="18.5703125" style="529" customWidth="1"/>
    <col min="9476" max="9476" width="10.85546875" style="529" customWidth="1"/>
    <col min="9477" max="9477" width="17" style="529" customWidth="1"/>
    <col min="9478" max="9478" width="13.7109375" style="529" customWidth="1"/>
    <col min="9479" max="9479" width="9.7109375" style="529" customWidth="1"/>
    <col min="9480" max="9480" width="14.85546875" style="529" customWidth="1"/>
    <col min="9481" max="9481" width="14.140625" style="529" customWidth="1"/>
    <col min="9482" max="9482" width="9.7109375" style="529" customWidth="1"/>
    <col min="9483" max="9483" width="14" style="529" customWidth="1"/>
    <col min="9484" max="9484" width="13.42578125" style="529" customWidth="1"/>
    <col min="9485" max="9485" width="9.85546875" style="529" customWidth="1"/>
    <col min="9486" max="9486" width="13.28515625" style="529" customWidth="1"/>
    <col min="9487" max="9487" width="17.7109375" style="529" customWidth="1"/>
    <col min="9488" max="9488" width="10.140625" style="529" customWidth="1"/>
    <col min="9489" max="9489" width="18.5703125" style="529" customWidth="1"/>
    <col min="9490" max="9728" width="9.140625" style="529"/>
    <col min="9729" max="9729" width="5.5703125" style="529" customWidth="1"/>
    <col min="9730" max="9730" width="61" style="529" customWidth="1"/>
    <col min="9731" max="9731" width="18.5703125" style="529" customWidth="1"/>
    <col min="9732" max="9732" width="10.85546875" style="529" customWidth="1"/>
    <col min="9733" max="9733" width="17" style="529" customWidth="1"/>
    <col min="9734" max="9734" width="13.7109375" style="529" customWidth="1"/>
    <col min="9735" max="9735" width="9.7109375" style="529" customWidth="1"/>
    <col min="9736" max="9736" width="14.85546875" style="529" customWidth="1"/>
    <col min="9737" max="9737" width="14.140625" style="529" customWidth="1"/>
    <col min="9738" max="9738" width="9.7109375" style="529" customWidth="1"/>
    <col min="9739" max="9739" width="14" style="529" customWidth="1"/>
    <col min="9740" max="9740" width="13.42578125" style="529" customWidth="1"/>
    <col min="9741" max="9741" width="9.85546875" style="529" customWidth="1"/>
    <col min="9742" max="9742" width="13.28515625" style="529" customWidth="1"/>
    <col min="9743" max="9743" width="17.7109375" style="529" customWidth="1"/>
    <col min="9744" max="9744" width="10.140625" style="529" customWidth="1"/>
    <col min="9745" max="9745" width="18.5703125" style="529" customWidth="1"/>
    <col min="9746" max="9984" width="9.140625" style="529"/>
    <col min="9985" max="9985" width="5.5703125" style="529" customWidth="1"/>
    <col min="9986" max="9986" width="61" style="529" customWidth="1"/>
    <col min="9987" max="9987" width="18.5703125" style="529" customWidth="1"/>
    <col min="9988" max="9988" width="10.85546875" style="529" customWidth="1"/>
    <col min="9989" max="9989" width="17" style="529" customWidth="1"/>
    <col min="9990" max="9990" width="13.7109375" style="529" customWidth="1"/>
    <col min="9991" max="9991" width="9.7109375" style="529" customWidth="1"/>
    <col min="9992" max="9992" width="14.85546875" style="529" customWidth="1"/>
    <col min="9993" max="9993" width="14.140625" style="529" customWidth="1"/>
    <col min="9994" max="9994" width="9.7109375" style="529" customWidth="1"/>
    <col min="9995" max="9995" width="14" style="529" customWidth="1"/>
    <col min="9996" max="9996" width="13.42578125" style="529" customWidth="1"/>
    <col min="9997" max="9997" width="9.85546875" style="529" customWidth="1"/>
    <col min="9998" max="9998" width="13.28515625" style="529" customWidth="1"/>
    <col min="9999" max="9999" width="17.7109375" style="529" customWidth="1"/>
    <col min="10000" max="10000" width="10.140625" style="529" customWidth="1"/>
    <col min="10001" max="10001" width="18.5703125" style="529" customWidth="1"/>
    <col min="10002" max="10240" width="9.140625" style="529"/>
    <col min="10241" max="10241" width="5.5703125" style="529" customWidth="1"/>
    <col min="10242" max="10242" width="61" style="529" customWidth="1"/>
    <col min="10243" max="10243" width="18.5703125" style="529" customWidth="1"/>
    <col min="10244" max="10244" width="10.85546875" style="529" customWidth="1"/>
    <col min="10245" max="10245" width="17" style="529" customWidth="1"/>
    <col min="10246" max="10246" width="13.7109375" style="529" customWidth="1"/>
    <col min="10247" max="10247" width="9.7109375" style="529" customWidth="1"/>
    <col min="10248" max="10248" width="14.85546875" style="529" customWidth="1"/>
    <col min="10249" max="10249" width="14.140625" style="529" customWidth="1"/>
    <col min="10250" max="10250" width="9.7109375" style="529" customWidth="1"/>
    <col min="10251" max="10251" width="14" style="529" customWidth="1"/>
    <col min="10252" max="10252" width="13.42578125" style="529" customWidth="1"/>
    <col min="10253" max="10253" width="9.85546875" style="529" customWidth="1"/>
    <col min="10254" max="10254" width="13.28515625" style="529" customWidth="1"/>
    <col min="10255" max="10255" width="17.7109375" style="529" customWidth="1"/>
    <col min="10256" max="10256" width="10.140625" style="529" customWidth="1"/>
    <col min="10257" max="10257" width="18.5703125" style="529" customWidth="1"/>
    <col min="10258" max="10496" width="9.140625" style="529"/>
    <col min="10497" max="10497" width="5.5703125" style="529" customWidth="1"/>
    <col min="10498" max="10498" width="61" style="529" customWidth="1"/>
    <col min="10499" max="10499" width="18.5703125" style="529" customWidth="1"/>
    <col min="10500" max="10500" width="10.85546875" style="529" customWidth="1"/>
    <col min="10501" max="10501" width="17" style="529" customWidth="1"/>
    <col min="10502" max="10502" width="13.7109375" style="529" customWidth="1"/>
    <col min="10503" max="10503" width="9.7109375" style="529" customWidth="1"/>
    <col min="10504" max="10504" width="14.85546875" style="529" customWidth="1"/>
    <col min="10505" max="10505" width="14.140625" style="529" customWidth="1"/>
    <col min="10506" max="10506" width="9.7109375" style="529" customWidth="1"/>
    <col min="10507" max="10507" width="14" style="529" customWidth="1"/>
    <col min="10508" max="10508" width="13.42578125" style="529" customWidth="1"/>
    <col min="10509" max="10509" width="9.85546875" style="529" customWidth="1"/>
    <col min="10510" max="10510" width="13.28515625" style="529" customWidth="1"/>
    <col min="10511" max="10511" width="17.7109375" style="529" customWidth="1"/>
    <col min="10512" max="10512" width="10.140625" style="529" customWidth="1"/>
    <col min="10513" max="10513" width="18.5703125" style="529" customWidth="1"/>
    <col min="10514" max="10752" width="9.140625" style="529"/>
    <col min="10753" max="10753" width="5.5703125" style="529" customWidth="1"/>
    <col min="10754" max="10754" width="61" style="529" customWidth="1"/>
    <col min="10755" max="10755" width="18.5703125" style="529" customWidth="1"/>
    <col min="10756" max="10756" width="10.85546875" style="529" customWidth="1"/>
    <col min="10757" max="10757" width="17" style="529" customWidth="1"/>
    <col min="10758" max="10758" width="13.7109375" style="529" customWidth="1"/>
    <col min="10759" max="10759" width="9.7109375" style="529" customWidth="1"/>
    <col min="10760" max="10760" width="14.85546875" style="529" customWidth="1"/>
    <col min="10761" max="10761" width="14.140625" style="529" customWidth="1"/>
    <col min="10762" max="10762" width="9.7109375" style="529" customWidth="1"/>
    <col min="10763" max="10763" width="14" style="529" customWidth="1"/>
    <col min="10764" max="10764" width="13.42578125" style="529" customWidth="1"/>
    <col min="10765" max="10765" width="9.85546875" style="529" customWidth="1"/>
    <col min="10766" max="10766" width="13.28515625" style="529" customWidth="1"/>
    <col min="10767" max="10767" width="17.7109375" style="529" customWidth="1"/>
    <col min="10768" max="10768" width="10.140625" style="529" customWidth="1"/>
    <col min="10769" max="10769" width="18.5703125" style="529" customWidth="1"/>
    <col min="10770" max="11008" width="9.140625" style="529"/>
    <col min="11009" max="11009" width="5.5703125" style="529" customWidth="1"/>
    <col min="11010" max="11010" width="61" style="529" customWidth="1"/>
    <col min="11011" max="11011" width="18.5703125" style="529" customWidth="1"/>
    <col min="11012" max="11012" width="10.85546875" style="529" customWidth="1"/>
    <col min="11013" max="11013" width="17" style="529" customWidth="1"/>
    <col min="11014" max="11014" width="13.7109375" style="529" customWidth="1"/>
    <col min="11015" max="11015" width="9.7109375" style="529" customWidth="1"/>
    <col min="11016" max="11016" width="14.85546875" style="529" customWidth="1"/>
    <col min="11017" max="11017" width="14.140625" style="529" customWidth="1"/>
    <col min="11018" max="11018" width="9.7109375" style="529" customWidth="1"/>
    <col min="11019" max="11019" width="14" style="529" customWidth="1"/>
    <col min="11020" max="11020" width="13.42578125" style="529" customWidth="1"/>
    <col min="11021" max="11021" width="9.85546875" style="529" customWidth="1"/>
    <col min="11022" max="11022" width="13.28515625" style="529" customWidth="1"/>
    <col min="11023" max="11023" width="17.7109375" style="529" customWidth="1"/>
    <col min="11024" max="11024" width="10.140625" style="529" customWidth="1"/>
    <col min="11025" max="11025" width="18.5703125" style="529" customWidth="1"/>
    <col min="11026" max="11264" width="9.140625" style="529"/>
    <col min="11265" max="11265" width="5.5703125" style="529" customWidth="1"/>
    <col min="11266" max="11266" width="61" style="529" customWidth="1"/>
    <col min="11267" max="11267" width="18.5703125" style="529" customWidth="1"/>
    <col min="11268" max="11268" width="10.85546875" style="529" customWidth="1"/>
    <col min="11269" max="11269" width="17" style="529" customWidth="1"/>
    <col min="11270" max="11270" width="13.7109375" style="529" customWidth="1"/>
    <col min="11271" max="11271" width="9.7109375" style="529" customWidth="1"/>
    <col min="11272" max="11272" width="14.85546875" style="529" customWidth="1"/>
    <col min="11273" max="11273" width="14.140625" style="529" customWidth="1"/>
    <col min="11274" max="11274" width="9.7109375" style="529" customWidth="1"/>
    <col min="11275" max="11275" width="14" style="529" customWidth="1"/>
    <col min="11276" max="11276" width="13.42578125" style="529" customWidth="1"/>
    <col min="11277" max="11277" width="9.85546875" style="529" customWidth="1"/>
    <col min="11278" max="11278" width="13.28515625" style="529" customWidth="1"/>
    <col min="11279" max="11279" width="17.7109375" style="529" customWidth="1"/>
    <col min="11280" max="11280" width="10.140625" style="529" customWidth="1"/>
    <col min="11281" max="11281" width="18.5703125" style="529" customWidth="1"/>
    <col min="11282" max="11520" width="9.140625" style="529"/>
    <col min="11521" max="11521" width="5.5703125" style="529" customWidth="1"/>
    <col min="11522" max="11522" width="61" style="529" customWidth="1"/>
    <col min="11523" max="11523" width="18.5703125" style="529" customWidth="1"/>
    <col min="11524" max="11524" width="10.85546875" style="529" customWidth="1"/>
    <col min="11525" max="11525" width="17" style="529" customWidth="1"/>
    <col min="11526" max="11526" width="13.7109375" style="529" customWidth="1"/>
    <col min="11527" max="11527" width="9.7109375" style="529" customWidth="1"/>
    <col min="11528" max="11528" width="14.85546875" style="529" customWidth="1"/>
    <col min="11529" max="11529" width="14.140625" style="529" customWidth="1"/>
    <col min="11530" max="11530" width="9.7109375" style="529" customWidth="1"/>
    <col min="11531" max="11531" width="14" style="529" customWidth="1"/>
    <col min="11532" max="11532" width="13.42578125" style="529" customWidth="1"/>
    <col min="11533" max="11533" width="9.85546875" style="529" customWidth="1"/>
    <col min="11534" max="11534" width="13.28515625" style="529" customWidth="1"/>
    <col min="11535" max="11535" width="17.7109375" style="529" customWidth="1"/>
    <col min="11536" max="11536" width="10.140625" style="529" customWidth="1"/>
    <col min="11537" max="11537" width="18.5703125" style="529" customWidth="1"/>
    <col min="11538" max="11776" width="9.140625" style="529"/>
    <col min="11777" max="11777" width="5.5703125" style="529" customWidth="1"/>
    <col min="11778" max="11778" width="61" style="529" customWidth="1"/>
    <col min="11779" max="11779" width="18.5703125" style="529" customWidth="1"/>
    <col min="11780" max="11780" width="10.85546875" style="529" customWidth="1"/>
    <col min="11781" max="11781" width="17" style="529" customWidth="1"/>
    <col min="11782" max="11782" width="13.7109375" style="529" customWidth="1"/>
    <col min="11783" max="11783" width="9.7109375" style="529" customWidth="1"/>
    <col min="11784" max="11784" width="14.85546875" style="529" customWidth="1"/>
    <col min="11785" max="11785" width="14.140625" style="529" customWidth="1"/>
    <col min="11786" max="11786" width="9.7109375" style="529" customWidth="1"/>
    <col min="11787" max="11787" width="14" style="529" customWidth="1"/>
    <col min="11788" max="11788" width="13.42578125" style="529" customWidth="1"/>
    <col min="11789" max="11789" width="9.85546875" style="529" customWidth="1"/>
    <col min="11790" max="11790" width="13.28515625" style="529" customWidth="1"/>
    <col min="11791" max="11791" width="17.7109375" style="529" customWidth="1"/>
    <col min="11792" max="11792" width="10.140625" style="529" customWidth="1"/>
    <col min="11793" max="11793" width="18.5703125" style="529" customWidth="1"/>
    <col min="11794" max="12032" width="9.140625" style="529"/>
    <col min="12033" max="12033" width="5.5703125" style="529" customWidth="1"/>
    <col min="12034" max="12034" width="61" style="529" customWidth="1"/>
    <col min="12035" max="12035" width="18.5703125" style="529" customWidth="1"/>
    <col min="12036" max="12036" width="10.85546875" style="529" customWidth="1"/>
    <col min="12037" max="12037" width="17" style="529" customWidth="1"/>
    <col min="12038" max="12038" width="13.7109375" style="529" customWidth="1"/>
    <col min="12039" max="12039" width="9.7109375" style="529" customWidth="1"/>
    <col min="12040" max="12040" width="14.85546875" style="529" customWidth="1"/>
    <col min="12041" max="12041" width="14.140625" style="529" customWidth="1"/>
    <col min="12042" max="12042" width="9.7109375" style="529" customWidth="1"/>
    <col min="12043" max="12043" width="14" style="529" customWidth="1"/>
    <col min="12044" max="12044" width="13.42578125" style="529" customWidth="1"/>
    <col min="12045" max="12045" width="9.85546875" style="529" customWidth="1"/>
    <col min="12046" max="12046" width="13.28515625" style="529" customWidth="1"/>
    <col min="12047" max="12047" width="17.7109375" style="529" customWidth="1"/>
    <col min="12048" max="12048" width="10.140625" style="529" customWidth="1"/>
    <col min="12049" max="12049" width="18.5703125" style="529" customWidth="1"/>
    <col min="12050" max="12288" width="9.140625" style="529"/>
    <col min="12289" max="12289" width="5.5703125" style="529" customWidth="1"/>
    <col min="12290" max="12290" width="61" style="529" customWidth="1"/>
    <col min="12291" max="12291" width="18.5703125" style="529" customWidth="1"/>
    <col min="12292" max="12292" width="10.85546875" style="529" customWidth="1"/>
    <col min="12293" max="12293" width="17" style="529" customWidth="1"/>
    <col min="12294" max="12294" width="13.7109375" style="529" customWidth="1"/>
    <col min="12295" max="12295" width="9.7109375" style="529" customWidth="1"/>
    <col min="12296" max="12296" width="14.85546875" style="529" customWidth="1"/>
    <col min="12297" max="12297" width="14.140625" style="529" customWidth="1"/>
    <col min="12298" max="12298" width="9.7109375" style="529" customWidth="1"/>
    <col min="12299" max="12299" width="14" style="529" customWidth="1"/>
    <col min="12300" max="12300" width="13.42578125" style="529" customWidth="1"/>
    <col min="12301" max="12301" width="9.85546875" style="529" customWidth="1"/>
    <col min="12302" max="12302" width="13.28515625" style="529" customWidth="1"/>
    <col min="12303" max="12303" width="17.7109375" style="529" customWidth="1"/>
    <col min="12304" max="12304" width="10.140625" style="529" customWidth="1"/>
    <col min="12305" max="12305" width="18.5703125" style="529" customWidth="1"/>
    <col min="12306" max="12544" width="9.140625" style="529"/>
    <col min="12545" max="12545" width="5.5703125" style="529" customWidth="1"/>
    <col min="12546" max="12546" width="61" style="529" customWidth="1"/>
    <col min="12547" max="12547" width="18.5703125" style="529" customWidth="1"/>
    <col min="12548" max="12548" width="10.85546875" style="529" customWidth="1"/>
    <col min="12549" max="12549" width="17" style="529" customWidth="1"/>
    <col min="12550" max="12550" width="13.7109375" style="529" customWidth="1"/>
    <col min="12551" max="12551" width="9.7109375" style="529" customWidth="1"/>
    <col min="12552" max="12552" width="14.85546875" style="529" customWidth="1"/>
    <col min="12553" max="12553" width="14.140625" style="529" customWidth="1"/>
    <col min="12554" max="12554" width="9.7109375" style="529" customWidth="1"/>
    <col min="12555" max="12555" width="14" style="529" customWidth="1"/>
    <col min="12556" max="12556" width="13.42578125" style="529" customWidth="1"/>
    <col min="12557" max="12557" width="9.85546875" style="529" customWidth="1"/>
    <col min="12558" max="12558" width="13.28515625" style="529" customWidth="1"/>
    <col min="12559" max="12559" width="17.7109375" style="529" customWidth="1"/>
    <col min="12560" max="12560" width="10.140625" style="529" customWidth="1"/>
    <col min="12561" max="12561" width="18.5703125" style="529" customWidth="1"/>
    <col min="12562" max="12800" width="9.140625" style="529"/>
    <col min="12801" max="12801" width="5.5703125" style="529" customWidth="1"/>
    <col min="12802" max="12802" width="61" style="529" customWidth="1"/>
    <col min="12803" max="12803" width="18.5703125" style="529" customWidth="1"/>
    <col min="12804" max="12804" width="10.85546875" style="529" customWidth="1"/>
    <col min="12805" max="12805" width="17" style="529" customWidth="1"/>
    <col min="12806" max="12806" width="13.7109375" style="529" customWidth="1"/>
    <col min="12807" max="12807" width="9.7109375" style="529" customWidth="1"/>
    <col min="12808" max="12808" width="14.85546875" style="529" customWidth="1"/>
    <col min="12809" max="12809" width="14.140625" style="529" customWidth="1"/>
    <col min="12810" max="12810" width="9.7109375" style="529" customWidth="1"/>
    <col min="12811" max="12811" width="14" style="529" customWidth="1"/>
    <col min="12812" max="12812" width="13.42578125" style="529" customWidth="1"/>
    <col min="12813" max="12813" width="9.85546875" style="529" customWidth="1"/>
    <col min="12814" max="12814" width="13.28515625" style="529" customWidth="1"/>
    <col min="12815" max="12815" width="17.7109375" style="529" customWidth="1"/>
    <col min="12816" max="12816" width="10.140625" style="529" customWidth="1"/>
    <col min="12817" max="12817" width="18.5703125" style="529" customWidth="1"/>
    <col min="12818" max="13056" width="9.140625" style="529"/>
    <col min="13057" max="13057" width="5.5703125" style="529" customWidth="1"/>
    <col min="13058" max="13058" width="61" style="529" customWidth="1"/>
    <col min="13059" max="13059" width="18.5703125" style="529" customWidth="1"/>
    <col min="13060" max="13060" width="10.85546875" style="529" customWidth="1"/>
    <col min="13061" max="13061" width="17" style="529" customWidth="1"/>
    <col min="13062" max="13062" width="13.7109375" style="529" customWidth="1"/>
    <col min="13063" max="13063" width="9.7109375" style="529" customWidth="1"/>
    <col min="13064" max="13064" width="14.85546875" style="529" customWidth="1"/>
    <col min="13065" max="13065" width="14.140625" style="529" customWidth="1"/>
    <col min="13066" max="13066" width="9.7109375" style="529" customWidth="1"/>
    <col min="13067" max="13067" width="14" style="529" customWidth="1"/>
    <col min="13068" max="13068" width="13.42578125" style="529" customWidth="1"/>
    <col min="13069" max="13069" width="9.85546875" style="529" customWidth="1"/>
    <col min="13070" max="13070" width="13.28515625" style="529" customWidth="1"/>
    <col min="13071" max="13071" width="17.7109375" style="529" customWidth="1"/>
    <col min="13072" max="13072" width="10.140625" style="529" customWidth="1"/>
    <col min="13073" max="13073" width="18.5703125" style="529" customWidth="1"/>
    <col min="13074" max="13312" width="9.140625" style="529"/>
    <col min="13313" max="13313" width="5.5703125" style="529" customWidth="1"/>
    <col min="13314" max="13314" width="61" style="529" customWidth="1"/>
    <col min="13315" max="13315" width="18.5703125" style="529" customWidth="1"/>
    <col min="13316" max="13316" width="10.85546875" style="529" customWidth="1"/>
    <col min="13317" max="13317" width="17" style="529" customWidth="1"/>
    <col min="13318" max="13318" width="13.7109375" style="529" customWidth="1"/>
    <col min="13319" max="13319" width="9.7109375" style="529" customWidth="1"/>
    <col min="13320" max="13320" width="14.85546875" style="529" customWidth="1"/>
    <col min="13321" max="13321" width="14.140625" style="529" customWidth="1"/>
    <col min="13322" max="13322" width="9.7109375" style="529" customWidth="1"/>
    <col min="13323" max="13323" width="14" style="529" customWidth="1"/>
    <col min="13324" max="13324" width="13.42578125" style="529" customWidth="1"/>
    <col min="13325" max="13325" width="9.85546875" style="529" customWidth="1"/>
    <col min="13326" max="13326" width="13.28515625" style="529" customWidth="1"/>
    <col min="13327" max="13327" width="17.7109375" style="529" customWidth="1"/>
    <col min="13328" max="13328" width="10.140625" style="529" customWidth="1"/>
    <col min="13329" max="13329" width="18.5703125" style="529" customWidth="1"/>
    <col min="13330" max="13568" width="9.140625" style="529"/>
    <col min="13569" max="13569" width="5.5703125" style="529" customWidth="1"/>
    <col min="13570" max="13570" width="61" style="529" customWidth="1"/>
    <col min="13571" max="13571" width="18.5703125" style="529" customWidth="1"/>
    <col min="13572" max="13572" width="10.85546875" style="529" customWidth="1"/>
    <col min="13573" max="13573" width="17" style="529" customWidth="1"/>
    <col min="13574" max="13574" width="13.7109375" style="529" customWidth="1"/>
    <col min="13575" max="13575" width="9.7109375" style="529" customWidth="1"/>
    <col min="13576" max="13576" width="14.85546875" style="529" customWidth="1"/>
    <col min="13577" max="13577" width="14.140625" style="529" customWidth="1"/>
    <col min="13578" max="13578" width="9.7109375" style="529" customWidth="1"/>
    <col min="13579" max="13579" width="14" style="529" customWidth="1"/>
    <col min="13580" max="13580" width="13.42578125" style="529" customWidth="1"/>
    <col min="13581" max="13581" width="9.85546875" style="529" customWidth="1"/>
    <col min="13582" max="13582" width="13.28515625" style="529" customWidth="1"/>
    <col min="13583" max="13583" width="17.7109375" style="529" customWidth="1"/>
    <col min="13584" max="13584" width="10.140625" style="529" customWidth="1"/>
    <col min="13585" max="13585" width="18.5703125" style="529" customWidth="1"/>
    <col min="13586" max="13824" width="9.140625" style="529"/>
    <col min="13825" max="13825" width="5.5703125" style="529" customWidth="1"/>
    <col min="13826" max="13826" width="61" style="529" customWidth="1"/>
    <col min="13827" max="13827" width="18.5703125" style="529" customWidth="1"/>
    <col min="13828" max="13828" width="10.85546875" style="529" customWidth="1"/>
    <col min="13829" max="13829" width="17" style="529" customWidth="1"/>
    <col min="13830" max="13830" width="13.7109375" style="529" customWidth="1"/>
    <col min="13831" max="13831" width="9.7109375" style="529" customWidth="1"/>
    <col min="13832" max="13832" width="14.85546875" style="529" customWidth="1"/>
    <col min="13833" max="13833" width="14.140625" style="529" customWidth="1"/>
    <col min="13834" max="13834" width="9.7109375" style="529" customWidth="1"/>
    <col min="13835" max="13835" width="14" style="529" customWidth="1"/>
    <col min="13836" max="13836" width="13.42578125" style="529" customWidth="1"/>
    <col min="13837" max="13837" width="9.85546875" style="529" customWidth="1"/>
    <col min="13838" max="13838" width="13.28515625" style="529" customWidth="1"/>
    <col min="13839" max="13839" width="17.7109375" style="529" customWidth="1"/>
    <col min="13840" max="13840" width="10.140625" style="529" customWidth="1"/>
    <col min="13841" max="13841" width="18.5703125" style="529" customWidth="1"/>
    <col min="13842" max="14080" width="9.140625" style="529"/>
    <col min="14081" max="14081" width="5.5703125" style="529" customWidth="1"/>
    <col min="14082" max="14082" width="61" style="529" customWidth="1"/>
    <col min="14083" max="14083" width="18.5703125" style="529" customWidth="1"/>
    <col min="14084" max="14084" width="10.85546875" style="529" customWidth="1"/>
    <col min="14085" max="14085" width="17" style="529" customWidth="1"/>
    <col min="14086" max="14086" width="13.7109375" style="529" customWidth="1"/>
    <col min="14087" max="14087" width="9.7109375" style="529" customWidth="1"/>
    <col min="14088" max="14088" width="14.85546875" style="529" customWidth="1"/>
    <col min="14089" max="14089" width="14.140625" style="529" customWidth="1"/>
    <col min="14090" max="14090" width="9.7109375" style="529" customWidth="1"/>
    <col min="14091" max="14091" width="14" style="529" customWidth="1"/>
    <col min="14092" max="14092" width="13.42578125" style="529" customWidth="1"/>
    <col min="14093" max="14093" width="9.85546875" style="529" customWidth="1"/>
    <col min="14094" max="14094" width="13.28515625" style="529" customWidth="1"/>
    <col min="14095" max="14095" width="17.7109375" style="529" customWidth="1"/>
    <col min="14096" max="14096" width="10.140625" style="529" customWidth="1"/>
    <col min="14097" max="14097" width="18.5703125" style="529" customWidth="1"/>
    <col min="14098" max="14336" width="9.140625" style="529"/>
    <col min="14337" max="14337" width="5.5703125" style="529" customWidth="1"/>
    <col min="14338" max="14338" width="61" style="529" customWidth="1"/>
    <col min="14339" max="14339" width="18.5703125" style="529" customWidth="1"/>
    <col min="14340" max="14340" width="10.85546875" style="529" customWidth="1"/>
    <col min="14341" max="14341" width="17" style="529" customWidth="1"/>
    <col min="14342" max="14342" width="13.7109375" style="529" customWidth="1"/>
    <col min="14343" max="14343" width="9.7109375" style="529" customWidth="1"/>
    <col min="14344" max="14344" width="14.85546875" style="529" customWidth="1"/>
    <col min="14345" max="14345" width="14.140625" style="529" customWidth="1"/>
    <col min="14346" max="14346" width="9.7109375" style="529" customWidth="1"/>
    <col min="14347" max="14347" width="14" style="529" customWidth="1"/>
    <col min="14348" max="14348" width="13.42578125" style="529" customWidth="1"/>
    <col min="14349" max="14349" width="9.85546875" style="529" customWidth="1"/>
    <col min="14350" max="14350" width="13.28515625" style="529" customWidth="1"/>
    <col min="14351" max="14351" width="17.7109375" style="529" customWidth="1"/>
    <col min="14352" max="14352" width="10.140625" style="529" customWidth="1"/>
    <col min="14353" max="14353" width="18.5703125" style="529" customWidth="1"/>
    <col min="14354" max="14592" width="9.140625" style="529"/>
    <col min="14593" max="14593" width="5.5703125" style="529" customWidth="1"/>
    <col min="14594" max="14594" width="61" style="529" customWidth="1"/>
    <col min="14595" max="14595" width="18.5703125" style="529" customWidth="1"/>
    <col min="14596" max="14596" width="10.85546875" style="529" customWidth="1"/>
    <col min="14597" max="14597" width="17" style="529" customWidth="1"/>
    <col min="14598" max="14598" width="13.7109375" style="529" customWidth="1"/>
    <col min="14599" max="14599" width="9.7109375" style="529" customWidth="1"/>
    <col min="14600" max="14600" width="14.85546875" style="529" customWidth="1"/>
    <col min="14601" max="14601" width="14.140625" style="529" customWidth="1"/>
    <col min="14602" max="14602" width="9.7109375" style="529" customWidth="1"/>
    <col min="14603" max="14603" width="14" style="529" customWidth="1"/>
    <col min="14604" max="14604" width="13.42578125" style="529" customWidth="1"/>
    <col min="14605" max="14605" width="9.85546875" style="529" customWidth="1"/>
    <col min="14606" max="14606" width="13.28515625" style="529" customWidth="1"/>
    <col min="14607" max="14607" width="17.7109375" style="529" customWidth="1"/>
    <col min="14608" max="14608" width="10.140625" style="529" customWidth="1"/>
    <col min="14609" max="14609" width="18.5703125" style="529" customWidth="1"/>
    <col min="14610" max="14848" width="9.140625" style="529"/>
    <col min="14849" max="14849" width="5.5703125" style="529" customWidth="1"/>
    <col min="14850" max="14850" width="61" style="529" customWidth="1"/>
    <col min="14851" max="14851" width="18.5703125" style="529" customWidth="1"/>
    <col min="14852" max="14852" width="10.85546875" style="529" customWidth="1"/>
    <col min="14853" max="14853" width="17" style="529" customWidth="1"/>
    <col min="14854" max="14854" width="13.7109375" style="529" customWidth="1"/>
    <col min="14855" max="14855" width="9.7109375" style="529" customWidth="1"/>
    <col min="14856" max="14856" width="14.85546875" style="529" customWidth="1"/>
    <col min="14857" max="14857" width="14.140625" style="529" customWidth="1"/>
    <col min="14858" max="14858" width="9.7109375" style="529" customWidth="1"/>
    <col min="14859" max="14859" width="14" style="529" customWidth="1"/>
    <col min="14860" max="14860" width="13.42578125" style="529" customWidth="1"/>
    <col min="14861" max="14861" width="9.85546875" style="529" customWidth="1"/>
    <col min="14862" max="14862" width="13.28515625" style="529" customWidth="1"/>
    <col min="14863" max="14863" width="17.7109375" style="529" customWidth="1"/>
    <col min="14864" max="14864" width="10.140625" style="529" customWidth="1"/>
    <col min="14865" max="14865" width="18.5703125" style="529" customWidth="1"/>
    <col min="14866" max="15104" width="9.140625" style="529"/>
    <col min="15105" max="15105" width="5.5703125" style="529" customWidth="1"/>
    <col min="15106" max="15106" width="61" style="529" customWidth="1"/>
    <col min="15107" max="15107" width="18.5703125" style="529" customWidth="1"/>
    <col min="15108" max="15108" width="10.85546875" style="529" customWidth="1"/>
    <col min="15109" max="15109" width="17" style="529" customWidth="1"/>
    <col min="15110" max="15110" width="13.7109375" style="529" customWidth="1"/>
    <col min="15111" max="15111" width="9.7109375" style="529" customWidth="1"/>
    <col min="15112" max="15112" width="14.85546875" style="529" customWidth="1"/>
    <col min="15113" max="15113" width="14.140625" style="529" customWidth="1"/>
    <col min="15114" max="15114" width="9.7109375" style="529" customWidth="1"/>
    <col min="15115" max="15115" width="14" style="529" customWidth="1"/>
    <col min="15116" max="15116" width="13.42578125" style="529" customWidth="1"/>
    <col min="15117" max="15117" width="9.85546875" style="529" customWidth="1"/>
    <col min="15118" max="15118" width="13.28515625" style="529" customWidth="1"/>
    <col min="15119" max="15119" width="17.7109375" style="529" customWidth="1"/>
    <col min="15120" max="15120" width="10.140625" style="529" customWidth="1"/>
    <col min="15121" max="15121" width="18.5703125" style="529" customWidth="1"/>
    <col min="15122" max="15360" width="9.140625" style="529"/>
    <col min="15361" max="15361" width="5.5703125" style="529" customWidth="1"/>
    <col min="15362" max="15362" width="61" style="529" customWidth="1"/>
    <col min="15363" max="15363" width="18.5703125" style="529" customWidth="1"/>
    <col min="15364" max="15364" width="10.85546875" style="529" customWidth="1"/>
    <col min="15365" max="15365" width="17" style="529" customWidth="1"/>
    <col min="15366" max="15366" width="13.7109375" style="529" customWidth="1"/>
    <col min="15367" max="15367" width="9.7109375" style="529" customWidth="1"/>
    <col min="15368" max="15368" width="14.85546875" style="529" customWidth="1"/>
    <col min="15369" max="15369" width="14.140625" style="529" customWidth="1"/>
    <col min="15370" max="15370" width="9.7109375" style="529" customWidth="1"/>
    <col min="15371" max="15371" width="14" style="529" customWidth="1"/>
    <col min="15372" max="15372" width="13.42578125" style="529" customWidth="1"/>
    <col min="15373" max="15373" width="9.85546875" style="529" customWidth="1"/>
    <col min="15374" max="15374" width="13.28515625" style="529" customWidth="1"/>
    <col min="15375" max="15375" width="17.7109375" style="529" customWidth="1"/>
    <col min="15376" max="15376" width="10.140625" style="529" customWidth="1"/>
    <col min="15377" max="15377" width="18.5703125" style="529" customWidth="1"/>
    <col min="15378" max="15616" width="9.140625" style="529"/>
    <col min="15617" max="15617" width="5.5703125" style="529" customWidth="1"/>
    <col min="15618" max="15618" width="61" style="529" customWidth="1"/>
    <col min="15619" max="15619" width="18.5703125" style="529" customWidth="1"/>
    <col min="15620" max="15620" width="10.85546875" style="529" customWidth="1"/>
    <col min="15621" max="15621" width="17" style="529" customWidth="1"/>
    <col min="15622" max="15622" width="13.7109375" style="529" customWidth="1"/>
    <col min="15623" max="15623" width="9.7109375" style="529" customWidth="1"/>
    <col min="15624" max="15624" width="14.85546875" style="529" customWidth="1"/>
    <col min="15625" max="15625" width="14.140625" style="529" customWidth="1"/>
    <col min="15626" max="15626" width="9.7109375" style="529" customWidth="1"/>
    <col min="15627" max="15627" width="14" style="529" customWidth="1"/>
    <col min="15628" max="15628" width="13.42578125" style="529" customWidth="1"/>
    <col min="15629" max="15629" width="9.85546875" style="529" customWidth="1"/>
    <col min="15630" max="15630" width="13.28515625" style="529" customWidth="1"/>
    <col min="15631" max="15631" width="17.7109375" style="529" customWidth="1"/>
    <col min="15632" max="15632" width="10.140625" style="529" customWidth="1"/>
    <col min="15633" max="15633" width="18.5703125" style="529" customWidth="1"/>
    <col min="15634" max="15872" width="9.140625" style="529"/>
    <col min="15873" max="15873" width="5.5703125" style="529" customWidth="1"/>
    <col min="15874" max="15874" width="61" style="529" customWidth="1"/>
    <col min="15875" max="15875" width="18.5703125" style="529" customWidth="1"/>
    <col min="15876" max="15876" width="10.85546875" style="529" customWidth="1"/>
    <col min="15877" max="15877" width="17" style="529" customWidth="1"/>
    <col min="15878" max="15878" width="13.7109375" style="529" customWidth="1"/>
    <col min="15879" max="15879" width="9.7109375" style="529" customWidth="1"/>
    <col min="15880" max="15880" width="14.85546875" style="529" customWidth="1"/>
    <col min="15881" max="15881" width="14.140625" style="529" customWidth="1"/>
    <col min="15882" max="15882" width="9.7109375" style="529" customWidth="1"/>
    <col min="15883" max="15883" width="14" style="529" customWidth="1"/>
    <col min="15884" max="15884" width="13.42578125" style="529" customWidth="1"/>
    <col min="15885" max="15885" width="9.85546875" style="529" customWidth="1"/>
    <col min="15886" max="15886" width="13.28515625" style="529" customWidth="1"/>
    <col min="15887" max="15887" width="17.7109375" style="529" customWidth="1"/>
    <col min="15888" max="15888" width="10.140625" style="529" customWidth="1"/>
    <col min="15889" max="15889" width="18.5703125" style="529" customWidth="1"/>
    <col min="15890" max="16128" width="9.140625" style="529"/>
    <col min="16129" max="16129" width="5.5703125" style="529" customWidth="1"/>
    <col min="16130" max="16130" width="61" style="529" customWidth="1"/>
    <col min="16131" max="16131" width="18.5703125" style="529" customWidth="1"/>
    <col min="16132" max="16132" width="10.85546875" style="529" customWidth="1"/>
    <col min="16133" max="16133" width="17" style="529" customWidth="1"/>
    <col min="16134" max="16134" width="13.7109375" style="529" customWidth="1"/>
    <col min="16135" max="16135" width="9.7109375" style="529" customWidth="1"/>
    <col min="16136" max="16136" width="14.85546875" style="529" customWidth="1"/>
    <col min="16137" max="16137" width="14.140625" style="529" customWidth="1"/>
    <col min="16138" max="16138" width="9.7109375" style="529" customWidth="1"/>
    <col min="16139" max="16139" width="14" style="529" customWidth="1"/>
    <col min="16140" max="16140" width="13.42578125" style="529" customWidth="1"/>
    <col min="16141" max="16141" width="9.85546875" style="529" customWidth="1"/>
    <col min="16142" max="16142" width="13.28515625" style="529" customWidth="1"/>
    <col min="16143" max="16143" width="17.7109375" style="529" customWidth="1"/>
    <col min="16144" max="16144" width="10.140625" style="529" customWidth="1"/>
    <col min="16145" max="16145" width="18.5703125" style="529" customWidth="1"/>
    <col min="16146" max="16384" width="9.140625" style="529"/>
  </cols>
  <sheetData>
    <row r="1" spans="1:18" ht="12.75" customHeight="1" x14ac:dyDescent="0.2">
      <c r="A1" s="527"/>
      <c r="B1" s="527"/>
      <c r="C1" s="527"/>
      <c r="D1" s="527"/>
      <c r="E1" s="527"/>
      <c r="F1" s="528"/>
      <c r="G1" s="528"/>
      <c r="H1" s="528"/>
    </row>
    <row r="2" spans="1:18" ht="15.75" x14ac:dyDescent="0.25">
      <c r="A2" s="948"/>
      <c r="B2" s="948"/>
      <c r="C2" s="530"/>
      <c r="D2" s="530"/>
      <c r="E2" s="530"/>
      <c r="F2" s="531"/>
      <c r="G2" s="531"/>
      <c r="H2" s="531"/>
      <c r="O2" s="532"/>
      <c r="P2" s="532"/>
      <c r="Q2" s="532" t="s">
        <v>514</v>
      </c>
    </row>
    <row r="3" spans="1:18" ht="24.95" customHeight="1" x14ac:dyDescent="0.2">
      <c r="A3" s="949" t="s">
        <v>20</v>
      </c>
      <c r="B3" s="950" t="s">
        <v>15</v>
      </c>
      <c r="C3" s="945" t="s">
        <v>737</v>
      </c>
      <c r="D3" s="945"/>
      <c r="E3" s="945"/>
      <c r="F3" s="945" t="s">
        <v>75</v>
      </c>
      <c r="G3" s="945"/>
      <c r="H3" s="945"/>
      <c r="I3" s="945" t="s">
        <v>317</v>
      </c>
      <c r="J3" s="945"/>
      <c r="K3" s="945"/>
      <c r="L3" s="945" t="s">
        <v>319</v>
      </c>
      <c r="M3" s="945"/>
      <c r="N3" s="945"/>
      <c r="O3" s="945" t="s">
        <v>13</v>
      </c>
      <c r="P3" s="945"/>
      <c r="Q3" s="945"/>
    </row>
    <row r="4" spans="1:18" ht="16.5" customHeight="1" x14ac:dyDescent="0.2">
      <c r="A4" s="949"/>
      <c r="B4" s="950"/>
      <c r="C4" s="533">
        <v>43101</v>
      </c>
      <c r="D4" s="534" t="s">
        <v>894</v>
      </c>
      <c r="E4" s="533">
        <v>43465</v>
      </c>
      <c r="F4" s="533">
        <v>43101</v>
      </c>
      <c r="G4" s="534" t="s">
        <v>894</v>
      </c>
      <c r="H4" s="533">
        <v>43465</v>
      </c>
      <c r="I4" s="533">
        <v>43101</v>
      </c>
      <c r="J4" s="534" t="s">
        <v>894</v>
      </c>
      <c r="K4" s="533">
        <v>43465</v>
      </c>
      <c r="L4" s="533">
        <v>43101</v>
      </c>
      <c r="M4" s="534" t="s">
        <v>894</v>
      </c>
      <c r="N4" s="533">
        <v>43465</v>
      </c>
      <c r="O4" s="533">
        <v>43101</v>
      </c>
      <c r="P4" s="534" t="s">
        <v>894</v>
      </c>
      <c r="Q4" s="533">
        <v>43465</v>
      </c>
    </row>
    <row r="5" spans="1:18" ht="16.5" customHeight="1" x14ac:dyDescent="0.2">
      <c r="A5" s="946" t="s">
        <v>895</v>
      </c>
      <c r="B5" s="946"/>
      <c r="C5" s="535"/>
      <c r="D5" s="536"/>
      <c r="E5" s="535"/>
      <c r="F5" s="535"/>
      <c r="G5" s="536"/>
      <c r="H5" s="535"/>
      <c r="I5" s="535"/>
      <c r="J5" s="536"/>
      <c r="K5" s="535"/>
      <c r="L5" s="535"/>
      <c r="M5" s="536"/>
      <c r="N5" s="535"/>
      <c r="O5" s="537"/>
      <c r="P5" s="538"/>
      <c r="Q5" s="537"/>
      <c r="R5" s="539"/>
    </row>
    <row r="6" spans="1:18" ht="15.75" x14ac:dyDescent="0.2">
      <c r="A6" s="540">
        <v>1</v>
      </c>
      <c r="B6" s="541" t="s">
        <v>896</v>
      </c>
      <c r="C6" s="542"/>
      <c r="D6" s="542"/>
      <c r="E6" s="542">
        <v>426213</v>
      </c>
      <c r="F6" s="542">
        <v>362895</v>
      </c>
      <c r="G6" s="542"/>
      <c r="H6" s="542">
        <v>643987</v>
      </c>
      <c r="I6" s="543"/>
      <c r="J6" s="543"/>
      <c r="K6" s="543"/>
      <c r="L6" s="543"/>
      <c r="M6" s="543"/>
      <c r="N6" s="543"/>
      <c r="O6" s="544">
        <f t="shared" ref="O6:O65" si="0">SUM(C6+F6+I6+L6)</f>
        <v>362895</v>
      </c>
      <c r="P6" s="544">
        <f t="shared" ref="P6:Q66" si="1">SUM(D6+G6+J6+M6)</f>
        <v>0</v>
      </c>
      <c r="Q6" s="544">
        <f t="shared" si="1"/>
        <v>1070200</v>
      </c>
    </row>
    <row r="7" spans="1:18" ht="15.75" x14ac:dyDescent="0.2">
      <c r="A7" s="540">
        <v>2</v>
      </c>
      <c r="B7" s="541" t="s">
        <v>897</v>
      </c>
      <c r="C7" s="542">
        <v>4437481</v>
      </c>
      <c r="D7" s="542"/>
      <c r="E7" s="542">
        <v>2283853</v>
      </c>
      <c r="F7" s="542"/>
      <c r="G7" s="542"/>
      <c r="H7" s="542"/>
      <c r="I7" s="542"/>
      <c r="J7" s="542"/>
      <c r="K7" s="542"/>
      <c r="L7" s="542"/>
      <c r="M7" s="542"/>
      <c r="N7" s="542"/>
      <c r="O7" s="544">
        <f t="shared" si="0"/>
        <v>4437481</v>
      </c>
      <c r="P7" s="544">
        <f t="shared" si="1"/>
        <v>0</v>
      </c>
      <c r="Q7" s="544">
        <f t="shared" si="1"/>
        <v>2283853</v>
      </c>
    </row>
    <row r="8" spans="1:18" ht="15.75" x14ac:dyDescent="0.2">
      <c r="A8" s="540">
        <v>4</v>
      </c>
      <c r="B8" s="545" t="s">
        <v>898</v>
      </c>
      <c r="C8" s="546">
        <f>SUM(C6:C7)</f>
        <v>4437481</v>
      </c>
      <c r="D8" s="546"/>
      <c r="E8" s="546">
        <f>SUM(E6:E7)</f>
        <v>2710066</v>
      </c>
      <c r="F8" s="546">
        <f>SUM(F6:F7)</f>
        <v>362895</v>
      </c>
      <c r="G8" s="546"/>
      <c r="H8" s="546">
        <f>SUM(H6:H7)</f>
        <v>643987</v>
      </c>
      <c r="I8" s="546">
        <f>SUM(I6:I7)</f>
        <v>0</v>
      </c>
      <c r="J8" s="546"/>
      <c r="K8" s="546">
        <f>SUM(K6:K7)</f>
        <v>0</v>
      </c>
      <c r="L8" s="546">
        <f>SUM(L6:L7)</f>
        <v>0</v>
      </c>
      <c r="M8" s="546"/>
      <c r="N8" s="546">
        <f>SUM(N6:N7)</f>
        <v>0</v>
      </c>
      <c r="O8" s="544">
        <f t="shared" si="0"/>
        <v>4800376</v>
      </c>
      <c r="P8" s="544">
        <f t="shared" si="1"/>
        <v>0</v>
      </c>
      <c r="Q8" s="544">
        <f t="shared" si="1"/>
        <v>3354053</v>
      </c>
    </row>
    <row r="9" spans="1:18" ht="15.75" x14ac:dyDescent="0.2">
      <c r="A9" s="540">
        <v>5</v>
      </c>
      <c r="B9" s="541" t="s">
        <v>899</v>
      </c>
      <c r="C9" s="542">
        <v>4248875780</v>
      </c>
      <c r="D9" s="542"/>
      <c r="E9" s="542">
        <v>4180117992</v>
      </c>
      <c r="F9" s="542"/>
      <c r="G9" s="542"/>
      <c r="H9" s="542"/>
      <c r="I9" s="542">
        <v>5126195</v>
      </c>
      <c r="J9" s="542"/>
      <c r="K9" s="542"/>
      <c r="L9" s="542"/>
      <c r="M9" s="542"/>
      <c r="N9" s="542"/>
      <c r="O9" s="544">
        <f t="shared" si="0"/>
        <v>4254001975</v>
      </c>
      <c r="P9" s="544">
        <f t="shared" si="1"/>
        <v>0</v>
      </c>
      <c r="Q9" s="544">
        <f t="shared" si="1"/>
        <v>4180117992</v>
      </c>
    </row>
    <row r="10" spans="1:18" ht="15.75" x14ac:dyDescent="0.2">
      <c r="A10" s="540">
        <v>6</v>
      </c>
      <c r="B10" s="541" t="s">
        <v>900</v>
      </c>
      <c r="C10" s="542">
        <v>85090028</v>
      </c>
      <c r="D10" s="542"/>
      <c r="E10" s="542">
        <v>70905768</v>
      </c>
      <c r="F10" s="542">
        <v>1498684</v>
      </c>
      <c r="G10" s="542"/>
      <c r="H10" s="542">
        <v>766240</v>
      </c>
      <c r="I10" s="542">
        <v>8219003</v>
      </c>
      <c r="J10" s="542"/>
      <c r="K10" s="542">
        <v>7632245</v>
      </c>
      <c r="L10" s="542">
        <v>2857227</v>
      </c>
      <c r="M10" s="542"/>
      <c r="N10" s="542">
        <v>4349374</v>
      </c>
      <c r="O10" s="544">
        <f t="shared" si="0"/>
        <v>97664942</v>
      </c>
      <c r="P10" s="544">
        <f t="shared" si="1"/>
        <v>0</v>
      </c>
      <c r="Q10" s="544">
        <f t="shared" si="1"/>
        <v>83653627</v>
      </c>
    </row>
    <row r="11" spans="1:18" ht="15.75" x14ac:dyDescent="0.2">
      <c r="A11" s="540">
        <v>8</v>
      </c>
      <c r="B11" s="541" t="s">
        <v>901</v>
      </c>
      <c r="C11" s="542">
        <v>24763231</v>
      </c>
      <c r="D11" s="542"/>
      <c r="E11" s="542">
        <v>249622322</v>
      </c>
      <c r="F11" s="542"/>
      <c r="G11" s="542"/>
      <c r="H11" s="542"/>
      <c r="I11" s="542"/>
      <c r="J11" s="542"/>
      <c r="K11" s="542"/>
      <c r="L11" s="542">
        <v>235000</v>
      </c>
      <c r="M11" s="542"/>
      <c r="N11" s="542">
        <v>13071938</v>
      </c>
      <c r="O11" s="544">
        <f t="shared" si="0"/>
        <v>24998231</v>
      </c>
      <c r="P11" s="544">
        <f t="shared" si="1"/>
        <v>0</v>
      </c>
      <c r="Q11" s="544">
        <f t="shared" si="1"/>
        <v>262694260</v>
      </c>
    </row>
    <row r="12" spans="1:18" ht="15.75" x14ac:dyDescent="0.2">
      <c r="A12" s="540">
        <v>10</v>
      </c>
      <c r="B12" s="545" t="s">
        <v>902</v>
      </c>
      <c r="C12" s="546">
        <f>SUM(C9:C11)</f>
        <v>4358729039</v>
      </c>
      <c r="D12" s="546">
        <f>SUM(D9:D11)</f>
        <v>0</v>
      </c>
      <c r="E12" s="546">
        <f>SUM(E9:E11)</f>
        <v>4500646082</v>
      </c>
      <c r="F12" s="546">
        <f>SUM(F9:F11)</f>
        <v>1498684</v>
      </c>
      <c r="G12" s="546"/>
      <c r="H12" s="546">
        <f>SUM(H9:H11)</f>
        <v>766240</v>
      </c>
      <c r="I12" s="546">
        <f>SUM(I9:I11)</f>
        <v>13345198</v>
      </c>
      <c r="J12" s="546"/>
      <c r="K12" s="546">
        <f>SUM(K9:K11)</f>
        <v>7632245</v>
      </c>
      <c r="L12" s="546">
        <f>SUM(L9:L11)</f>
        <v>3092227</v>
      </c>
      <c r="M12" s="546"/>
      <c r="N12" s="546">
        <f>SUM(N9:N11)</f>
        <v>17421312</v>
      </c>
      <c r="O12" s="544">
        <f t="shared" si="0"/>
        <v>4376665148</v>
      </c>
      <c r="P12" s="544">
        <f t="shared" si="1"/>
        <v>0</v>
      </c>
      <c r="Q12" s="544">
        <f t="shared" si="1"/>
        <v>4526465879</v>
      </c>
    </row>
    <row r="13" spans="1:18" ht="15.75" x14ac:dyDescent="0.2">
      <c r="A13" s="540">
        <v>11</v>
      </c>
      <c r="B13" s="541" t="s">
        <v>903</v>
      </c>
      <c r="C13" s="542">
        <v>842460000</v>
      </c>
      <c r="D13" s="542"/>
      <c r="E13" s="542">
        <v>842460000</v>
      </c>
      <c r="F13" s="542"/>
      <c r="G13" s="542"/>
      <c r="H13" s="542"/>
      <c r="I13" s="542"/>
      <c r="J13" s="542"/>
      <c r="K13" s="542"/>
      <c r="L13" s="542"/>
      <c r="M13" s="542"/>
      <c r="N13" s="542"/>
      <c r="O13" s="544">
        <f t="shared" si="0"/>
        <v>842460000</v>
      </c>
      <c r="P13" s="544">
        <f t="shared" si="1"/>
        <v>0</v>
      </c>
      <c r="Q13" s="544">
        <f t="shared" si="1"/>
        <v>842460000</v>
      </c>
    </row>
    <row r="14" spans="1:18" ht="28.5" customHeight="1" x14ac:dyDescent="0.2">
      <c r="A14" s="540">
        <v>13</v>
      </c>
      <c r="B14" s="541" t="s">
        <v>904</v>
      </c>
      <c r="C14" s="542">
        <v>840930000</v>
      </c>
      <c r="D14" s="542"/>
      <c r="E14" s="542">
        <v>840930000</v>
      </c>
      <c r="F14" s="542"/>
      <c r="G14" s="542"/>
      <c r="H14" s="542"/>
      <c r="I14" s="542"/>
      <c r="J14" s="542"/>
      <c r="K14" s="542"/>
      <c r="L14" s="542"/>
      <c r="M14" s="542"/>
      <c r="N14" s="542"/>
      <c r="O14" s="544">
        <f t="shared" si="0"/>
        <v>840930000</v>
      </c>
      <c r="P14" s="544">
        <f t="shared" si="1"/>
        <v>0</v>
      </c>
      <c r="Q14" s="544">
        <f t="shared" si="1"/>
        <v>840930000</v>
      </c>
    </row>
    <row r="15" spans="1:18" ht="15.75" x14ac:dyDescent="0.2">
      <c r="A15" s="540">
        <v>16</v>
      </c>
      <c r="B15" s="541" t="s">
        <v>905</v>
      </c>
      <c r="C15" s="542">
        <v>1530000</v>
      </c>
      <c r="D15" s="542"/>
      <c r="E15" s="542">
        <v>1530000</v>
      </c>
      <c r="F15" s="542"/>
      <c r="G15" s="542"/>
      <c r="H15" s="542"/>
      <c r="I15" s="542"/>
      <c r="J15" s="542"/>
      <c r="K15" s="542"/>
      <c r="L15" s="542"/>
      <c r="M15" s="542"/>
      <c r="N15" s="542"/>
      <c r="O15" s="544">
        <f t="shared" si="0"/>
        <v>1530000</v>
      </c>
      <c r="P15" s="544">
        <f t="shared" si="1"/>
        <v>0</v>
      </c>
      <c r="Q15" s="544">
        <f t="shared" si="1"/>
        <v>1530000</v>
      </c>
    </row>
    <row r="16" spans="1:18" ht="31.5" x14ac:dyDescent="0.2">
      <c r="A16" s="540">
        <v>21</v>
      </c>
      <c r="B16" s="545" t="s">
        <v>906</v>
      </c>
      <c r="C16" s="546">
        <f t="shared" ref="C16" si="2">C14+C15</f>
        <v>842460000</v>
      </c>
      <c r="D16" s="546">
        <f t="shared" ref="D16:N16" si="3">D14+D15</f>
        <v>0</v>
      </c>
      <c r="E16" s="546">
        <f t="shared" si="3"/>
        <v>842460000</v>
      </c>
      <c r="F16" s="546">
        <f t="shared" ref="F16" si="4">F14+F15</f>
        <v>0</v>
      </c>
      <c r="G16" s="546">
        <f t="shared" si="3"/>
        <v>0</v>
      </c>
      <c r="H16" s="546">
        <f t="shared" si="3"/>
        <v>0</v>
      </c>
      <c r="I16" s="546">
        <f t="shared" ref="I16" si="5">I14+I15</f>
        <v>0</v>
      </c>
      <c r="J16" s="546">
        <f t="shared" si="3"/>
        <v>0</v>
      </c>
      <c r="K16" s="546">
        <f t="shared" si="3"/>
        <v>0</v>
      </c>
      <c r="L16" s="546">
        <f t="shared" ref="L16" si="6">L14+L15</f>
        <v>0</v>
      </c>
      <c r="M16" s="546">
        <f t="shared" si="3"/>
        <v>0</v>
      </c>
      <c r="N16" s="546">
        <f t="shared" si="3"/>
        <v>0</v>
      </c>
      <c r="O16" s="544">
        <f t="shared" si="0"/>
        <v>842460000</v>
      </c>
      <c r="P16" s="544">
        <f t="shared" si="1"/>
        <v>0</v>
      </c>
      <c r="Q16" s="544">
        <f t="shared" si="1"/>
        <v>842460000</v>
      </c>
    </row>
    <row r="17" spans="1:17" ht="31.5" x14ac:dyDescent="0.2">
      <c r="A17" s="540">
        <v>28</v>
      </c>
      <c r="B17" s="545" t="s">
        <v>907</v>
      </c>
      <c r="C17" s="546">
        <f t="shared" ref="C17" si="7">SUM(C16+C12+C8)</f>
        <v>5205626520</v>
      </c>
      <c r="D17" s="546">
        <f t="shared" ref="D17:N17" si="8">SUM(D16+D12+D8)</f>
        <v>0</v>
      </c>
      <c r="E17" s="546">
        <f t="shared" si="8"/>
        <v>5345816148</v>
      </c>
      <c r="F17" s="546">
        <f t="shared" ref="F17" si="9">SUM(F16+F12+F8)</f>
        <v>1861579</v>
      </c>
      <c r="G17" s="546">
        <f t="shared" si="8"/>
        <v>0</v>
      </c>
      <c r="H17" s="546">
        <f t="shared" si="8"/>
        <v>1410227</v>
      </c>
      <c r="I17" s="546">
        <f t="shared" ref="I17" si="10">SUM(I16+I12+I8)</f>
        <v>13345198</v>
      </c>
      <c r="J17" s="546">
        <f t="shared" si="8"/>
        <v>0</v>
      </c>
      <c r="K17" s="546">
        <f t="shared" si="8"/>
        <v>7632245</v>
      </c>
      <c r="L17" s="546">
        <f t="shared" ref="L17" si="11">SUM(L16+L12+L8)</f>
        <v>3092227</v>
      </c>
      <c r="M17" s="546">
        <f t="shared" si="8"/>
        <v>0</v>
      </c>
      <c r="N17" s="546">
        <f t="shared" si="8"/>
        <v>17421312</v>
      </c>
      <c r="O17" s="544">
        <f t="shared" si="0"/>
        <v>5223925524</v>
      </c>
      <c r="P17" s="544">
        <f t="shared" si="1"/>
        <v>0</v>
      </c>
      <c r="Q17" s="544">
        <f t="shared" si="1"/>
        <v>5372279932</v>
      </c>
    </row>
    <row r="18" spans="1:17" ht="15.75" x14ac:dyDescent="0.2">
      <c r="A18" s="540">
        <v>29</v>
      </c>
      <c r="B18" s="541" t="s">
        <v>908</v>
      </c>
      <c r="C18" s="542">
        <v>1196000</v>
      </c>
      <c r="D18" s="542"/>
      <c r="E18" s="542">
        <v>1011816</v>
      </c>
      <c r="F18" s="542"/>
      <c r="G18" s="542"/>
      <c r="H18" s="542"/>
      <c r="I18" s="542">
        <v>768608</v>
      </c>
      <c r="J18" s="542"/>
      <c r="K18" s="542">
        <v>1198136</v>
      </c>
      <c r="L18" s="542"/>
      <c r="M18" s="542"/>
      <c r="N18" s="542"/>
      <c r="O18" s="544">
        <f t="shared" si="0"/>
        <v>1964608</v>
      </c>
      <c r="P18" s="544">
        <f t="shared" si="1"/>
        <v>0</v>
      </c>
      <c r="Q18" s="544">
        <f t="shared" si="1"/>
        <v>2209952</v>
      </c>
    </row>
    <row r="19" spans="1:17" ht="15.75" x14ac:dyDescent="0.2">
      <c r="A19" s="540">
        <v>34</v>
      </c>
      <c r="B19" s="545" t="s">
        <v>909</v>
      </c>
      <c r="C19" s="546">
        <f>SUM(C18:C18)</f>
        <v>1196000</v>
      </c>
      <c r="D19" s="546"/>
      <c r="E19" s="546">
        <f>SUM(E18:E18)</f>
        <v>1011816</v>
      </c>
      <c r="F19" s="546">
        <f>SUM(F18:F18)</f>
        <v>0</v>
      </c>
      <c r="G19" s="546"/>
      <c r="H19" s="546">
        <f>SUM(H18:H18)</f>
        <v>0</v>
      </c>
      <c r="I19" s="546">
        <f>SUM(I18:I18)</f>
        <v>768608</v>
      </c>
      <c r="J19" s="546"/>
      <c r="K19" s="546">
        <f>SUM(K18:K18)</f>
        <v>1198136</v>
      </c>
      <c r="L19" s="546">
        <f>SUM(L18:L18)</f>
        <v>0</v>
      </c>
      <c r="M19" s="546"/>
      <c r="N19" s="546">
        <f>SUM(N18:N18)</f>
        <v>0</v>
      </c>
      <c r="O19" s="544">
        <f t="shared" si="0"/>
        <v>1964608</v>
      </c>
      <c r="P19" s="544">
        <f t="shared" si="1"/>
        <v>0</v>
      </c>
      <c r="Q19" s="544">
        <f t="shared" si="1"/>
        <v>2209952</v>
      </c>
    </row>
    <row r="20" spans="1:17" ht="15.75" x14ac:dyDescent="0.2">
      <c r="A20" s="540">
        <v>35</v>
      </c>
      <c r="B20" s="541" t="s">
        <v>911</v>
      </c>
      <c r="C20" s="542"/>
      <c r="D20" s="542"/>
      <c r="E20" s="542"/>
      <c r="F20" s="542"/>
      <c r="G20" s="542"/>
      <c r="H20" s="542"/>
      <c r="I20" s="542"/>
      <c r="J20" s="542"/>
      <c r="K20" s="542"/>
      <c r="L20" s="542"/>
      <c r="M20" s="542"/>
      <c r="N20" s="542"/>
      <c r="O20" s="544">
        <f t="shared" si="0"/>
        <v>0</v>
      </c>
      <c r="P20" s="544">
        <f t="shared" si="1"/>
        <v>0</v>
      </c>
      <c r="Q20" s="544">
        <f t="shared" si="1"/>
        <v>0</v>
      </c>
    </row>
    <row r="21" spans="1:17" ht="30" x14ac:dyDescent="0.2">
      <c r="A21" s="540">
        <v>36</v>
      </c>
      <c r="B21" s="541" t="s">
        <v>912</v>
      </c>
      <c r="C21" s="542">
        <v>240000000</v>
      </c>
      <c r="D21" s="542"/>
      <c r="E21" s="542"/>
      <c r="F21" s="542"/>
      <c r="G21" s="542"/>
      <c r="H21" s="542"/>
      <c r="I21" s="542"/>
      <c r="J21" s="542"/>
      <c r="K21" s="542"/>
      <c r="L21" s="542"/>
      <c r="M21" s="542"/>
      <c r="N21" s="542"/>
      <c r="O21" s="544">
        <f t="shared" si="0"/>
        <v>240000000</v>
      </c>
      <c r="P21" s="544">
        <f t="shared" si="1"/>
        <v>0</v>
      </c>
      <c r="Q21" s="544">
        <f t="shared" si="1"/>
        <v>0</v>
      </c>
    </row>
    <row r="22" spans="1:17" s="547" customFormat="1" ht="15.75" x14ac:dyDescent="0.2">
      <c r="A22" s="540">
        <v>42</v>
      </c>
      <c r="B22" s="545" t="s">
        <v>914</v>
      </c>
      <c r="C22" s="546">
        <f>SUM(C20:C21)</f>
        <v>240000000</v>
      </c>
      <c r="D22" s="546">
        <f>SUM(D20:D21)</f>
        <v>0</v>
      </c>
      <c r="E22" s="546">
        <f>SUM(E20:E21)</f>
        <v>0</v>
      </c>
      <c r="F22" s="546">
        <f>SUM(F20:F21)</f>
        <v>0</v>
      </c>
      <c r="G22" s="546"/>
      <c r="H22" s="546">
        <f>SUM(H20:H21)</f>
        <v>0</v>
      </c>
      <c r="I22" s="546">
        <f>SUM(I20:I21)</f>
        <v>0</v>
      </c>
      <c r="J22" s="546"/>
      <c r="K22" s="546">
        <f>SUM(K20:K21)</f>
        <v>0</v>
      </c>
      <c r="L22" s="546">
        <f>SUM(L20:L21)</f>
        <v>0</v>
      </c>
      <c r="M22" s="546"/>
      <c r="N22" s="546">
        <f>SUM(N20:N21)</f>
        <v>0</v>
      </c>
      <c r="O22" s="544">
        <f t="shared" si="0"/>
        <v>240000000</v>
      </c>
      <c r="P22" s="544">
        <f t="shared" si="1"/>
        <v>0</v>
      </c>
      <c r="Q22" s="544">
        <f t="shared" si="1"/>
        <v>0</v>
      </c>
    </row>
    <row r="23" spans="1:17" ht="31.5" x14ac:dyDescent="0.2">
      <c r="A23" s="540">
        <v>43</v>
      </c>
      <c r="B23" s="545" t="s">
        <v>916</v>
      </c>
      <c r="C23" s="546">
        <f>C19+C22</f>
        <v>241196000</v>
      </c>
      <c r="D23" s="546">
        <f>D19+D22</f>
        <v>0</v>
      </c>
      <c r="E23" s="546">
        <f>E19+E22</f>
        <v>1011816</v>
      </c>
      <c r="F23" s="546">
        <f>F19+F22</f>
        <v>0</v>
      </c>
      <c r="G23" s="546"/>
      <c r="H23" s="546">
        <f>H19+H22</f>
        <v>0</v>
      </c>
      <c r="I23" s="546">
        <f t="shared" ref="I23:K23" si="12">I19+I22</f>
        <v>768608</v>
      </c>
      <c r="J23" s="546"/>
      <c r="K23" s="546">
        <f t="shared" si="12"/>
        <v>1198136</v>
      </c>
      <c r="L23" s="546">
        <f>L19+L22</f>
        <v>0</v>
      </c>
      <c r="M23" s="546"/>
      <c r="N23" s="546">
        <f>N19+N22</f>
        <v>0</v>
      </c>
      <c r="O23" s="544">
        <f t="shared" si="0"/>
        <v>241964608</v>
      </c>
      <c r="P23" s="544">
        <f t="shared" si="1"/>
        <v>0</v>
      </c>
      <c r="Q23" s="544">
        <f t="shared" si="1"/>
        <v>2209952</v>
      </c>
    </row>
    <row r="24" spans="1:17" ht="15.75" x14ac:dyDescent="0.2">
      <c r="A24" s="540">
        <v>50</v>
      </c>
      <c r="B24" s="541" t="s">
        <v>917</v>
      </c>
      <c r="C24" s="542">
        <v>363222</v>
      </c>
      <c r="D24" s="542"/>
      <c r="E24" s="542">
        <v>107020</v>
      </c>
      <c r="F24" s="542">
        <v>126890</v>
      </c>
      <c r="G24" s="542"/>
      <c r="H24" s="542">
        <v>300730</v>
      </c>
      <c r="I24" s="542">
        <v>56285</v>
      </c>
      <c r="J24" s="542"/>
      <c r="K24" s="542">
        <v>95545</v>
      </c>
      <c r="L24" s="542">
        <v>4155</v>
      </c>
      <c r="M24" s="542"/>
      <c r="N24" s="542">
        <v>25025</v>
      </c>
      <c r="O24" s="544">
        <f t="shared" si="0"/>
        <v>550552</v>
      </c>
      <c r="P24" s="544">
        <f t="shared" si="1"/>
        <v>0</v>
      </c>
      <c r="Q24" s="544">
        <f t="shared" si="1"/>
        <v>528320</v>
      </c>
    </row>
    <row r="25" spans="1:17" ht="15.75" x14ac:dyDescent="0.2">
      <c r="A25" s="540">
        <v>53</v>
      </c>
      <c r="B25" s="541" t="s">
        <v>918</v>
      </c>
      <c r="C25" s="542">
        <v>61354296</v>
      </c>
      <c r="D25" s="542"/>
      <c r="E25" s="542">
        <v>992412480</v>
      </c>
      <c r="F25" s="542">
        <v>5365779</v>
      </c>
      <c r="G25" s="542"/>
      <c r="H25" s="542">
        <v>1690544</v>
      </c>
      <c r="I25" s="542">
        <v>2183182</v>
      </c>
      <c r="J25" s="542"/>
      <c r="K25" s="542">
        <v>3265051</v>
      </c>
      <c r="L25" s="542">
        <v>2378564</v>
      </c>
      <c r="M25" s="542"/>
      <c r="N25" s="542">
        <v>16221657</v>
      </c>
      <c r="O25" s="544">
        <f t="shared" si="0"/>
        <v>71281821</v>
      </c>
      <c r="P25" s="544">
        <f t="shared" si="1"/>
        <v>0</v>
      </c>
      <c r="Q25" s="544">
        <f t="shared" si="1"/>
        <v>1013589732</v>
      </c>
    </row>
    <row r="26" spans="1:17" ht="15.75" x14ac:dyDescent="0.2">
      <c r="A26" s="540">
        <v>54</v>
      </c>
      <c r="B26" s="541" t="s">
        <v>919</v>
      </c>
      <c r="C26" s="542"/>
      <c r="D26" s="542"/>
      <c r="E26" s="542"/>
      <c r="F26" s="542"/>
      <c r="G26" s="542"/>
      <c r="H26" s="542"/>
      <c r="I26" s="542"/>
      <c r="J26" s="542"/>
      <c r="K26" s="542"/>
      <c r="L26" s="542"/>
      <c r="M26" s="542"/>
      <c r="N26" s="542"/>
      <c r="O26" s="544">
        <f t="shared" si="0"/>
        <v>0</v>
      </c>
      <c r="P26" s="544">
        <f t="shared" si="1"/>
        <v>0</v>
      </c>
      <c r="Q26" s="544">
        <f t="shared" si="1"/>
        <v>0</v>
      </c>
    </row>
    <row r="27" spans="1:17" ht="15.75" x14ac:dyDescent="0.2">
      <c r="A27" s="540">
        <v>57</v>
      </c>
      <c r="B27" s="545" t="s">
        <v>920</v>
      </c>
      <c r="C27" s="546">
        <f>SUM(C24:C26)</f>
        <v>61717518</v>
      </c>
      <c r="D27" s="546">
        <f>SUM(D24:D26)</f>
        <v>0</v>
      </c>
      <c r="E27" s="546">
        <f>SUM(E24:E26)</f>
        <v>992519500</v>
      </c>
      <c r="F27" s="546">
        <f>SUM(F24:F26)</f>
        <v>5492669</v>
      </c>
      <c r="G27" s="546"/>
      <c r="H27" s="546">
        <f>SUM(H24:H26)</f>
        <v>1991274</v>
      </c>
      <c r="I27" s="546">
        <f>SUM(I24:I26)</f>
        <v>2239467</v>
      </c>
      <c r="J27" s="546"/>
      <c r="K27" s="546">
        <f>SUM(K24:K26)</f>
        <v>3360596</v>
      </c>
      <c r="L27" s="546">
        <f>SUM(L24:L26)</f>
        <v>2382719</v>
      </c>
      <c r="M27" s="546"/>
      <c r="N27" s="546">
        <f>SUM(N24:N26)</f>
        <v>16246682</v>
      </c>
      <c r="O27" s="544">
        <f t="shared" si="0"/>
        <v>71832373</v>
      </c>
      <c r="P27" s="544">
        <f t="shared" si="1"/>
        <v>0</v>
      </c>
      <c r="Q27" s="544">
        <f t="shared" si="1"/>
        <v>1014118052</v>
      </c>
    </row>
    <row r="28" spans="1:17" ht="19.5" customHeight="1" x14ac:dyDescent="0.2">
      <c r="A28" s="548">
        <v>62</v>
      </c>
      <c r="B28" s="541" t="s">
        <v>921</v>
      </c>
      <c r="C28" s="542">
        <v>13206164</v>
      </c>
      <c r="D28" s="542"/>
      <c r="E28" s="542">
        <v>14835927</v>
      </c>
      <c r="F28" s="542"/>
      <c r="G28" s="542"/>
      <c r="H28" s="542"/>
      <c r="I28" s="542"/>
      <c r="J28" s="542"/>
      <c r="K28" s="542"/>
      <c r="L28" s="542"/>
      <c r="M28" s="542"/>
      <c r="N28" s="542"/>
      <c r="O28" s="544">
        <f t="shared" si="0"/>
        <v>13206164</v>
      </c>
      <c r="P28" s="544">
        <f t="shared" si="1"/>
        <v>0</v>
      </c>
      <c r="Q28" s="544">
        <f t="shared" si="1"/>
        <v>14835927</v>
      </c>
    </row>
    <row r="29" spans="1:17" ht="15.75" x14ac:dyDescent="0.2">
      <c r="A29" s="548">
        <v>69</v>
      </c>
      <c r="B29" s="541" t="s">
        <v>922</v>
      </c>
      <c r="C29" s="542">
        <v>2146873</v>
      </c>
      <c r="D29" s="542"/>
      <c r="E29" s="542">
        <v>779827</v>
      </c>
      <c r="F29" s="542"/>
      <c r="G29" s="542"/>
      <c r="H29" s="542">
        <v>10348</v>
      </c>
      <c r="I29" s="542"/>
      <c r="J29" s="542"/>
      <c r="K29" s="542">
        <v>121495</v>
      </c>
      <c r="L29" s="542"/>
      <c r="M29" s="542"/>
      <c r="N29" s="542">
        <v>40000</v>
      </c>
      <c r="O29" s="544">
        <f t="shared" si="0"/>
        <v>2146873</v>
      </c>
      <c r="P29" s="544">
        <f t="shared" si="1"/>
        <v>0</v>
      </c>
      <c r="Q29" s="544">
        <f t="shared" si="1"/>
        <v>951670</v>
      </c>
    </row>
    <row r="30" spans="1:17" ht="15.75" x14ac:dyDescent="0.2">
      <c r="A30" s="548">
        <v>85</v>
      </c>
      <c r="B30" s="541" t="s">
        <v>923</v>
      </c>
      <c r="C30" s="542">
        <v>1642171</v>
      </c>
      <c r="D30" s="542"/>
      <c r="E30" s="542">
        <v>868555</v>
      </c>
      <c r="F30" s="542"/>
      <c r="G30" s="542"/>
      <c r="H30" s="542"/>
      <c r="I30" s="542"/>
      <c r="J30" s="542"/>
      <c r="K30" s="542"/>
      <c r="L30" s="542"/>
      <c r="M30" s="542"/>
      <c r="N30" s="542"/>
      <c r="O30" s="544">
        <f t="shared" si="0"/>
        <v>1642171</v>
      </c>
      <c r="P30" s="544">
        <f t="shared" si="1"/>
        <v>0</v>
      </c>
      <c r="Q30" s="544">
        <f t="shared" si="1"/>
        <v>868555</v>
      </c>
    </row>
    <row r="31" spans="1:17" ht="15.75" x14ac:dyDescent="0.2">
      <c r="A31" s="548">
        <v>89</v>
      </c>
      <c r="B31" s="541" t="s">
        <v>924</v>
      </c>
      <c r="C31" s="542">
        <v>3270656</v>
      </c>
      <c r="D31" s="542"/>
      <c r="E31" s="542">
        <v>5772978</v>
      </c>
      <c r="F31" s="542"/>
      <c r="G31" s="542"/>
      <c r="H31" s="542"/>
      <c r="I31" s="542"/>
      <c r="J31" s="542"/>
      <c r="K31" s="542"/>
      <c r="L31" s="542"/>
      <c r="M31" s="542"/>
      <c r="N31" s="542"/>
      <c r="O31" s="544">
        <f t="shared" si="0"/>
        <v>3270656</v>
      </c>
      <c r="P31" s="544">
        <f t="shared" si="1"/>
        <v>0</v>
      </c>
      <c r="Q31" s="544">
        <f t="shared" si="1"/>
        <v>5772978</v>
      </c>
    </row>
    <row r="32" spans="1:17" ht="15.75" x14ac:dyDescent="0.2">
      <c r="A32" s="549" t="s">
        <v>925</v>
      </c>
      <c r="B32" s="545" t="s">
        <v>926</v>
      </c>
      <c r="C32" s="546">
        <f>SUM(C28:C31)</f>
        <v>20265864</v>
      </c>
      <c r="D32" s="546">
        <f>SUM(D28:D31)</f>
        <v>0</v>
      </c>
      <c r="E32" s="546">
        <f>SUM(E28:E31)</f>
        <v>22257287</v>
      </c>
      <c r="F32" s="546">
        <f>SUM(F28:F31)</f>
        <v>0</v>
      </c>
      <c r="G32" s="546"/>
      <c r="H32" s="546">
        <f>SUM(H28:H31)</f>
        <v>10348</v>
      </c>
      <c r="I32" s="546">
        <f>SUM(I28:I31)</f>
        <v>0</v>
      </c>
      <c r="J32" s="546"/>
      <c r="K32" s="546">
        <f>SUM(K28:K31)</f>
        <v>121495</v>
      </c>
      <c r="L32" s="546">
        <f>SUM(L28:L31)</f>
        <v>0</v>
      </c>
      <c r="M32" s="546"/>
      <c r="N32" s="546">
        <f>SUM(N28:N31)</f>
        <v>40000</v>
      </c>
      <c r="O32" s="544">
        <f t="shared" si="0"/>
        <v>20265864</v>
      </c>
      <c r="P32" s="544">
        <f t="shared" si="1"/>
        <v>0</v>
      </c>
      <c r="Q32" s="544">
        <f t="shared" si="1"/>
        <v>22429130</v>
      </c>
    </row>
    <row r="33" spans="1:18" ht="15.75" x14ac:dyDescent="0.2">
      <c r="A33" s="550">
        <v>129</v>
      </c>
      <c r="B33" s="551" t="s">
        <v>927</v>
      </c>
      <c r="C33" s="542">
        <v>15370500</v>
      </c>
      <c r="D33" s="542"/>
      <c r="E33" s="542">
        <v>15114000</v>
      </c>
      <c r="F33" s="542"/>
      <c r="G33" s="542"/>
      <c r="H33" s="542"/>
      <c r="I33" s="542"/>
      <c r="J33" s="542"/>
      <c r="K33" s="542"/>
      <c r="L33" s="542"/>
      <c r="M33" s="542"/>
      <c r="N33" s="542"/>
      <c r="O33" s="544">
        <f t="shared" si="0"/>
        <v>15370500</v>
      </c>
      <c r="P33" s="544">
        <f t="shared" si="1"/>
        <v>0</v>
      </c>
      <c r="Q33" s="544">
        <f t="shared" si="1"/>
        <v>15114000</v>
      </c>
    </row>
    <row r="34" spans="1:18" ht="15.75" x14ac:dyDescent="0.2">
      <c r="A34" s="550">
        <v>133</v>
      </c>
      <c r="B34" s="551" t="s">
        <v>928</v>
      </c>
      <c r="C34" s="542">
        <v>2889000</v>
      </c>
      <c r="D34" s="542"/>
      <c r="E34" s="542">
        <v>2175416</v>
      </c>
      <c r="F34" s="542"/>
      <c r="G34" s="542"/>
      <c r="H34" s="542">
        <v>525000</v>
      </c>
      <c r="I34" s="542"/>
      <c r="J34" s="542"/>
      <c r="K34" s="542"/>
      <c r="L34" s="542"/>
      <c r="M34" s="542"/>
      <c r="N34" s="542"/>
      <c r="O34" s="544">
        <f t="shared" si="0"/>
        <v>2889000</v>
      </c>
      <c r="P34" s="544">
        <f t="shared" si="1"/>
        <v>0</v>
      </c>
      <c r="Q34" s="544">
        <f t="shared" si="1"/>
        <v>2700416</v>
      </c>
    </row>
    <row r="35" spans="1:18" ht="31.5" x14ac:dyDescent="0.2">
      <c r="A35" s="548">
        <v>142</v>
      </c>
      <c r="B35" s="545" t="s">
        <v>929</v>
      </c>
      <c r="C35" s="546">
        <f>SUM(C33:C34)</f>
        <v>18259500</v>
      </c>
      <c r="D35" s="546">
        <f>SUM(D33:D34)</f>
        <v>0</v>
      </c>
      <c r="E35" s="546">
        <f>SUM(E33:E34)</f>
        <v>17289416</v>
      </c>
      <c r="F35" s="546">
        <f>SUM(F33:F34)</f>
        <v>0</v>
      </c>
      <c r="G35" s="546"/>
      <c r="H35" s="546">
        <f>SUM(H33:H34)</f>
        <v>525000</v>
      </c>
      <c r="I35" s="546">
        <f>SUM(I33:I34)</f>
        <v>0</v>
      </c>
      <c r="J35" s="546"/>
      <c r="K35" s="546">
        <f>SUM(K33:K34)</f>
        <v>0</v>
      </c>
      <c r="L35" s="546">
        <f>SUM(L33:L34)</f>
        <v>0</v>
      </c>
      <c r="M35" s="546"/>
      <c r="N35" s="546">
        <f>SUM(N33:N34)</f>
        <v>0</v>
      </c>
      <c r="O35" s="544">
        <f t="shared" si="0"/>
        <v>18259500</v>
      </c>
      <c r="P35" s="544">
        <f t="shared" si="1"/>
        <v>0</v>
      </c>
      <c r="Q35" s="544">
        <f t="shared" si="1"/>
        <v>17814416</v>
      </c>
    </row>
    <row r="36" spans="1:18" ht="15.75" x14ac:dyDescent="0.2">
      <c r="A36" s="548">
        <v>143</v>
      </c>
      <c r="B36" s="541" t="s">
        <v>930</v>
      </c>
      <c r="C36" s="542">
        <v>260398</v>
      </c>
      <c r="D36" s="542"/>
      <c r="E36" s="542">
        <v>361500</v>
      </c>
      <c r="F36" s="542">
        <v>424444</v>
      </c>
      <c r="G36" s="542"/>
      <c r="H36" s="542">
        <v>135000</v>
      </c>
      <c r="I36" s="542">
        <v>26035</v>
      </c>
      <c r="J36" s="542"/>
      <c r="K36" s="542">
        <v>26035</v>
      </c>
      <c r="L36" s="542">
        <v>63857</v>
      </c>
      <c r="M36" s="542"/>
      <c r="N36" s="542">
        <v>42000</v>
      </c>
      <c r="O36" s="544">
        <f t="shared" si="0"/>
        <v>774734</v>
      </c>
      <c r="P36" s="544">
        <f t="shared" si="1"/>
        <v>0</v>
      </c>
      <c r="Q36" s="544">
        <f t="shared" si="1"/>
        <v>564535</v>
      </c>
    </row>
    <row r="37" spans="1:18" ht="15.75" x14ac:dyDescent="0.2">
      <c r="A37" s="548">
        <v>152</v>
      </c>
      <c r="B37" s="541" t="s">
        <v>931</v>
      </c>
      <c r="C37" s="542">
        <v>440000</v>
      </c>
      <c r="D37" s="542"/>
      <c r="E37" s="542">
        <v>327000</v>
      </c>
      <c r="F37" s="542"/>
      <c r="G37" s="542"/>
      <c r="H37" s="542"/>
      <c r="I37" s="542"/>
      <c r="J37" s="542"/>
      <c r="K37" s="542"/>
      <c r="L37" s="542"/>
      <c r="M37" s="542"/>
      <c r="N37" s="542"/>
      <c r="O37" s="544">
        <f t="shared" si="0"/>
        <v>440000</v>
      </c>
      <c r="P37" s="544">
        <f t="shared" si="1"/>
        <v>0</v>
      </c>
      <c r="Q37" s="544">
        <f t="shared" si="1"/>
        <v>327000</v>
      </c>
    </row>
    <row r="38" spans="1:18" ht="15.75" x14ac:dyDescent="0.2">
      <c r="A38" s="548">
        <v>158</v>
      </c>
      <c r="B38" s="545" t="s">
        <v>932</v>
      </c>
      <c r="C38" s="546">
        <f>SUM(C36:C37)</f>
        <v>700398</v>
      </c>
      <c r="D38" s="546">
        <f>SUM(D36:D37)</f>
        <v>0</v>
      </c>
      <c r="E38" s="546">
        <f>SUM(E36:E37)</f>
        <v>688500</v>
      </c>
      <c r="F38" s="546">
        <f>SUM(F36:F37)</f>
        <v>424444</v>
      </c>
      <c r="G38" s="546"/>
      <c r="H38" s="546">
        <f>SUM(H36:H37)</f>
        <v>135000</v>
      </c>
      <c r="I38" s="546">
        <f>SUM(I36:I37)</f>
        <v>26035</v>
      </c>
      <c r="J38" s="546"/>
      <c r="K38" s="546">
        <f>SUM(K36:K37)</f>
        <v>26035</v>
      </c>
      <c r="L38" s="546">
        <f>SUM(L36:L37)</f>
        <v>63857</v>
      </c>
      <c r="M38" s="546"/>
      <c r="N38" s="546">
        <f>SUM(N36:N37)</f>
        <v>42000</v>
      </c>
      <c r="O38" s="544">
        <f t="shared" si="0"/>
        <v>1214734</v>
      </c>
      <c r="P38" s="544">
        <f t="shared" si="1"/>
        <v>0</v>
      </c>
      <c r="Q38" s="544">
        <f t="shared" si="1"/>
        <v>891535</v>
      </c>
    </row>
    <row r="39" spans="1:18" ht="15.75" x14ac:dyDescent="0.2">
      <c r="A39" s="548">
        <v>159</v>
      </c>
      <c r="B39" s="545" t="s">
        <v>933</v>
      </c>
      <c r="C39" s="546">
        <f>C32+C35+C38</f>
        <v>39225762</v>
      </c>
      <c r="D39" s="546">
        <f>D32+D35+D38</f>
        <v>0</v>
      </c>
      <c r="E39" s="546">
        <f>E32+E35+E38</f>
        <v>40235203</v>
      </c>
      <c r="F39" s="546">
        <f>F32+F35+F38</f>
        <v>424444</v>
      </c>
      <c r="G39" s="546"/>
      <c r="H39" s="546">
        <f>H32+H35+H38</f>
        <v>670348</v>
      </c>
      <c r="I39" s="546">
        <f>I32+I35+I38</f>
        <v>26035</v>
      </c>
      <c r="J39" s="546"/>
      <c r="K39" s="546">
        <f>K32+K35+K38</f>
        <v>147530</v>
      </c>
      <c r="L39" s="546">
        <f>L32+L35+L38</f>
        <v>63857</v>
      </c>
      <c r="M39" s="546"/>
      <c r="N39" s="546">
        <f>N32+N35+N38</f>
        <v>82000</v>
      </c>
      <c r="O39" s="544">
        <f t="shared" si="0"/>
        <v>39740098</v>
      </c>
      <c r="P39" s="544">
        <f t="shared" si="1"/>
        <v>0</v>
      </c>
      <c r="Q39" s="544">
        <f t="shared" si="1"/>
        <v>41135081</v>
      </c>
    </row>
    <row r="40" spans="1:18" ht="15.75" x14ac:dyDescent="0.2">
      <c r="A40" s="548">
        <v>171</v>
      </c>
      <c r="B40" s="545" t="s">
        <v>934</v>
      </c>
      <c r="C40" s="546">
        <v>-26000</v>
      </c>
      <c r="D40" s="546"/>
      <c r="E40" s="546">
        <v>-9697000</v>
      </c>
      <c r="F40" s="546"/>
      <c r="G40" s="546"/>
      <c r="H40" s="546">
        <v>36450</v>
      </c>
      <c r="I40" s="546">
        <v>-1268000</v>
      </c>
      <c r="J40" s="546"/>
      <c r="K40" s="546">
        <v>-715938</v>
      </c>
      <c r="L40" s="546">
        <v>50000</v>
      </c>
      <c r="M40" s="546"/>
      <c r="N40" s="546">
        <v>-3340770</v>
      </c>
      <c r="O40" s="544">
        <f t="shared" si="0"/>
        <v>-1244000</v>
      </c>
      <c r="P40" s="544">
        <f t="shared" si="1"/>
        <v>0</v>
      </c>
      <c r="Q40" s="544">
        <f t="shared" si="1"/>
        <v>-13717258</v>
      </c>
    </row>
    <row r="41" spans="1:18" ht="15.75" x14ac:dyDescent="0.2">
      <c r="A41" s="548">
        <v>173</v>
      </c>
      <c r="B41" s="541" t="s">
        <v>935</v>
      </c>
      <c r="C41" s="542">
        <v>25843</v>
      </c>
      <c r="D41" s="542"/>
      <c r="E41" s="542">
        <v>164647</v>
      </c>
      <c r="F41" s="542">
        <v>134365</v>
      </c>
      <c r="G41" s="542"/>
      <c r="H41" s="542">
        <v>196518</v>
      </c>
      <c r="I41" s="542"/>
      <c r="J41" s="542"/>
      <c r="K41" s="542"/>
      <c r="L41" s="542"/>
      <c r="M41" s="542"/>
      <c r="N41" s="542"/>
      <c r="O41" s="544">
        <f t="shared" si="0"/>
        <v>160208</v>
      </c>
      <c r="P41" s="544">
        <f t="shared" si="1"/>
        <v>0</v>
      </c>
      <c r="Q41" s="544">
        <f t="shared" si="1"/>
        <v>361165</v>
      </c>
    </row>
    <row r="42" spans="1:18" ht="15.75" x14ac:dyDescent="0.2">
      <c r="A42" s="548">
        <v>175</v>
      </c>
      <c r="B42" s="545" t="s">
        <v>936</v>
      </c>
      <c r="C42" s="546">
        <f>SUM(C41:C41)</f>
        <v>25843</v>
      </c>
      <c r="D42" s="546"/>
      <c r="E42" s="546">
        <f>SUM(E41:E41)</f>
        <v>164647</v>
      </c>
      <c r="F42" s="546">
        <f>SUM(F41:F41)</f>
        <v>134365</v>
      </c>
      <c r="G42" s="546"/>
      <c r="H42" s="546">
        <f>SUM(H41:H41)</f>
        <v>196518</v>
      </c>
      <c r="I42" s="546">
        <f>SUM(I41:I41)</f>
        <v>0</v>
      </c>
      <c r="J42" s="546"/>
      <c r="K42" s="546">
        <f>SUM(K41:K41)</f>
        <v>0</v>
      </c>
      <c r="L42" s="546">
        <f>SUM(L41:L41)</f>
        <v>0</v>
      </c>
      <c r="M42" s="546"/>
      <c r="N42" s="546">
        <f>SUM(N41:N41)</f>
        <v>0</v>
      </c>
      <c r="O42" s="544">
        <f t="shared" si="0"/>
        <v>160208</v>
      </c>
      <c r="P42" s="544">
        <f t="shared" si="1"/>
        <v>0</v>
      </c>
      <c r="Q42" s="544">
        <f t="shared" si="1"/>
        <v>361165</v>
      </c>
      <c r="R42" s="811"/>
    </row>
    <row r="43" spans="1:18" ht="30" customHeight="1" x14ac:dyDescent="0.2">
      <c r="A43" s="677">
        <v>176</v>
      </c>
      <c r="B43" s="552" t="s">
        <v>937</v>
      </c>
      <c r="C43" s="544">
        <f>C17+C23+C27+C39+C40+C42</f>
        <v>5547765643</v>
      </c>
      <c r="D43" s="544">
        <f>D17+D23+D27+D39+D40+D42</f>
        <v>0</v>
      </c>
      <c r="E43" s="544">
        <f>E17+E23+E27+E39+E40+E42</f>
        <v>6370050314</v>
      </c>
      <c r="F43" s="544">
        <f>F17+F23+F27+F39+F40+F42</f>
        <v>7913057</v>
      </c>
      <c r="G43" s="544"/>
      <c r="H43" s="544">
        <f>H17+H23+H27+H39+H40+H42</f>
        <v>4304817</v>
      </c>
      <c r="I43" s="544">
        <f>I17+I23+I27+I39+I40+I42</f>
        <v>15111308</v>
      </c>
      <c r="J43" s="544"/>
      <c r="K43" s="544">
        <f>K17+K23+K27+K39+K40+K42</f>
        <v>11622569</v>
      </c>
      <c r="L43" s="544">
        <f>L17+L23+L27+L39+L40+L42</f>
        <v>5588803</v>
      </c>
      <c r="M43" s="544"/>
      <c r="N43" s="544">
        <f>N17+N23+N27+N39+N40+N42</f>
        <v>30409224</v>
      </c>
      <c r="O43" s="544">
        <f t="shared" si="0"/>
        <v>5576378811</v>
      </c>
      <c r="P43" s="544">
        <f t="shared" si="1"/>
        <v>0</v>
      </c>
      <c r="Q43" s="544">
        <f t="shared" si="1"/>
        <v>6416386924</v>
      </c>
    </row>
    <row r="44" spans="1:18" ht="14.1" customHeight="1" x14ac:dyDescent="0.2">
      <c r="A44" s="947" t="s">
        <v>938</v>
      </c>
      <c r="B44" s="947"/>
      <c r="C44" s="542"/>
      <c r="D44" s="542"/>
      <c r="E44" s="542"/>
      <c r="F44" s="553"/>
      <c r="G44" s="553"/>
      <c r="H44" s="553"/>
      <c r="I44" s="543"/>
      <c r="J44" s="543"/>
      <c r="K44" s="543"/>
      <c r="L44" s="543"/>
      <c r="M44" s="543"/>
      <c r="N44" s="543"/>
      <c r="O44" s="544"/>
      <c r="P44" s="544"/>
      <c r="Q44" s="544"/>
    </row>
    <row r="45" spans="1:18" ht="15.75" x14ac:dyDescent="0.2">
      <c r="A45" s="548">
        <v>177</v>
      </c>
      <c r="B45" s="541" t="s">
        <v>939</v>
      </c>
      <c r="C45" s="542">
        <v>6502336825</v>
      </c>
      <c r="D45" s="542"/>
      <c r="E45" s="542">
        <v>6502336825</v>
      </c>
      <c r="F45" s="542">
        <v>3949605</v>
      </c>
      <c r="G45" s="542"/>
      <c r="H45" s="542">
        <v>3949605</v>
      </c>
      <c r="I45" s="542">
        <v>26084165</v>
      </c>
      <c r="J45" s="542"/>
      <c r="K45" s="542">
        <v>26084165</v>
      </c>
      <c r="L45" s="542">
        <v>4268784</v>
      </c>
      <c r="M45" s="542"/>
      <c r="N45" s="542">
        <v>4268784</v>
      </c>
      <c r="O45" s="544">
        <f t="shared" si="0"/>
        <v>6536639379</v>
      </c>
      <c r="P45" s="544">
        <f t="shared" si="1"/>
        <v>0</v>
      </c>
      <c r="Q45" s="544">
        <f t="shared" si="1"/>
        <v>6536639379</v>
      </c>
    </row>
    <row r="46" spans="1:18" ht="15.75" x14ac:dyDescent="0.2">
      <c r="A46" s="548">
        <v>178</v>
      </c>
      <c r="B46" s="541" t="s">
        <v>940</v>
      </c>
      <c r="C46" s="542">
        <v>-258644972</v>
      </c>
      <c r="D46" s="542"/>
      <c r="E46" s="542">
        <v>-229423688</v>
      </c>
      <c r="F46" s="542"/>
      <c r="G46" s="542"/>
      <c r="H46" s="542"/>
      <c r="I46" s="542">
        <v>1937121</v>
      </c>
      <c r="J46" s="542"/>
      <c r="K46" s="542">
        <v>1937121</v>
      </c>
      <c r="L46" s="542"/>
      <c r="M46" s="542"/>
      <c r="N46" s="542"/>
      <c r="O46" s="544">
        <f t="shared" si="0"/>
        <v>-256707851</v>
      </c>
      <c r="P46" s="544">
        <f t="shared" si="1"/>
        <v>0</v>
      </c>
      <c r="Q46" s="544">
        <f t="shared" si="1"/>
        <v>-227486567</v>
      </c>
    </row>
    <row r="47" spans="1:18" ht="15.75" x14ac:dyDescent="0.2">
      <c r="A47" s="548">
        <v>179</v>
      </c>
      <c r="B47" s="541" t="s">
        <v>941</v>
      </c>
      <c r="C47" s="542">
        <v>69904153</v>
      </c>
      <c r="D47" s="542"/>
      <c r="E47" s="542">
        <v>69904153</v>
      </c>
      <c r="F47" s="542">
        <v>13651506</v>
      </c>
      <c r="G47" s="542"/>
      <c r="H47" s="542">
        <v>13651506</v>
      </c>
      <c r="I47" s="542"/>
      <c r="J47" s="542"/>
      <c r="K47" s="542"/>
      <c r="L47" s="542"/>
      <c r="M47" s="542"/>
      <c r="N47" s="542"/>
      <c r="O47" s="544">
        <f t="shared" si="0"/>
        <v>83555659</v>
      </c>
      <c r="P47" s="544">
        <f t="shared" si="1"/>
        <v>0</v>
      </c>
      <c r="Q47" s="544">
        <f t="shared" si="1"/>
        <v>83555659</v>
      </c>
    </row>
    <row r="48" spans="1:18" ht="15.75" x14ac:dyDescent="0.2">
      <c r="A48" s="548">
        <v>180</v>
      </c>
      <c r="B48" s="541" t="s">
        <v>942</v>
      </c>
      <c r="C48" s="542">
        <v>-1424859326</v>
      </c>
      <c r="D48" s="542"/>
      <c r="E48" s="542">
        <v>-1461156321</v>
      </c>
      <c r="F48" s="542">
        <v>-18841669</v>
      </c>
      <c r="G48" s="542"/>
      <c r="H48" s="542">
        <v>-17764713</v>
      </c>
      <c r="I48" s="542">
        <v>-17227247</v>
      </c>
      <c r="J48" s="542"/>
      <c r="K48" s="542">
        <v>-20303249</v>
      </c>
      <c r="L48" s="542">
        <v>3705731</v>
      </c>
      <c r="M48" s="542"/>
      <c r="N48" s="542">
        <v>400200</v>
      </c>
      <c r="O48" s="544">
        <f t="shared" si="0"/>
        <v>-1457222511</v>
      </c>
      <c r="P48" s="544">
        <f t="shared" si="1"/>
        <v>0</v>
      </c>
      <c r="Q48" s="544">
        <f t="shared" si="1"/>
        <v>-1498824083</v>
      </c>
    </row>
    <row r="49" spans="1:17" ht="15.75" x14ac:dyDescent="0.2">
      <c r="A49" s="548">
        <v>182</v>
      </c>
      <c r="B49" s="541" t="s">
        <v>943</v>
      </c>
      <c r="C49" s="542">
        <v>-36296995</v>
      </c>
      <c r="D49" s="542"/>
      <c r="E49" s="542">
        <v>111314166</v>
      </c>
      <c r="F49" s="542">
        <v>1076956</v>
      </c>
      <c r="G49" s="542"/>
      <c r="H49" s="542">
        <v>-3775012</v>
      </c>
      <c r="I49" s="542">
        <v>-3076002</v>
      </c>
      <c r="J49" s="542"/>
      <c r="K49" s="542">
        <v>-3955054</v>
      </c>
      <c r="L49" s="542">
        <v>-3305531</v>
      </c>
      <c r="M49" s="542"/>
      <c r="N49" s="542">
        <v>5560184</v>
      </c>
      <c r="O49" s="544">
        <f t="shared" si="0"/>
        <v>-41601572</v>
      </c>
      <c r="P49" s="544">
        <f t="shared" si="1"/>
        <v>0</v>
      </c>
      <c r="Q49" s="544">
        <f t="shared" si="1"/>
        <v>109144284</v>
      </c>
    </row>
    <row r="50" spans="1:17" ht="15.75" x14ac:dyDescent="0.2">
      <c r="A50" s="548">
        <v>183</v>
      </c>
      <c r="B50" s="545" t="s">
        <v>944</v>
      </c>
      <c r="C50" s="546">
        <f>SUM(C45:C49)</f>
        <v>4852439685</v>
      </c>
      <c r="D50" s="546">
        <f>SUM(D45:D49)</f>
        <v>0</v>
      </c>
      <c r="E50" s="546">
        <f>SUM(E45:E49)</f>
        <v>4992975135</v>
      </c>
      <c r="F50" s="546">
        <f>SUM(F45:F49)</f>
        <v>-163602</v>
      </c>
      <c r="G50" s="546"/>
      <c r="H50" s="546">
        <f>SUM(H45:H49)</f>
        <v>-3938614</v>
      </c>
      <c r="I50" s="546">
        <f>SUM(I45:I49)</f>
        <v>7718037</v>
      </c>
      <c r="J50" s="546"/>
      <c r="K50" s="546">
        <f>SUM(K45:K49)</f>
        <v>3762983</v>
      </c>
      <c r="L50" s="546">
        <f>SUM(L45:L49)</f>
        <v>4668984</v>
      </c>
      <c r="M50" s="546"/>
      <c r="N50" s="546">
        <f>SUM(N45:N49)</f>
        <v>10229168</v>
      </c>
      <c r="O50" s="544">
        <f t="shared" si="0"/>
        <v>4864663104</v>
      </c>
      <c r="P50" s="544">
        <f t="shared" si="1"/>
        <v>0</v>
      </c>
      <c r="Q50" s="544">
        <f t="shared" si="1"/>
        <v>5003028672</v>
      </c>
    </row>
    <row r="51" spans="1:17" ht="15.75" x14ac:dyDescent="0.2">
      <c r="A51" s="550">
        <v>186</v>
      </c>
      <c r="B51" s="551" t="s">
        <v>945</v>
      </c>
      <c r="C51" s="542">
        <v>92011</v>
      </c>
      <c r="D51" s="542"/>
      <c r="E51" s="542">
        <v>3432682</v>
      </c>
      <c r="F51" s="542"/>
      <c r="G51" s="542"/>
      <c r="H51" s="542">
        <v>130274</v>
      </c>
      <c r="I51" s="542"/>
      <c r="J51" s="542"/>
      <c r="K51" s="542"/>
      <c r="L51" s="542"/>
      <c r="M51" s="542"/>
      <c r="N51" s="542"/>
      <c r="O51" s="544">
        <f t="shared" si="0"/>
        <v>92011</v>
      </c>
      <c r="P51" s="544">
        <f t="shared" si="1"/>
        <v>0</v>
      </c>
      <c r="Q51" s="544">
        <f t="shared" si="1"/>
        <v>3562956</v>
      </c>
    </row>
    <row r="52" spans="1:17" ht="15.75" x14ac:dyDescent="0.2">
      <c r="A52" s="673">
        <v>191</v>
      </c>
      <c r="B52" s="674" t="s">
        <v>1617</v>
      </c>
      <c r="C52" s="675"/>
      <c r="D52" s="675"/>
      <c r="E52" s="675">
        <v>6991769</v>
      </c>
      <c r="F52" s="675"/>
      <c r="G52" s="675"/>
      <c r="H52" s="675"/>
      <c r="I52" s="675"/>
      <c r="J52" s="675"/>
      <c r="K52" s="675"/>
      <c r="L52" s="675"/>
      <c r="M52" s="675"/>
      <c r="N52" s="675"/>
      <c r="O52" s="676"/>
      <c r="P52" s="676"/>
      <c r="Q52" s="676">
        <f t="shared" si="1"/>
        <v>6991769</v>
      </c>
    </row>
    <row r="53" spans="1:17" ht="15.75" x14ac:dyDescent="0.2">
      <c r="A53" s="673">
        <v>193</v>
      </c>
      <c r="B53" s="674" t="s">
        <v>1618</v>
      </c>
      <c r="C53" s="675"/>
      <c r="D53" s="675"/>
      <c r="E53" s="675">
        <v>10000000</v>
      </c>
      <c r="F53" s="675"/>
      <c r="G53" s="675"/>
      <c r="H53" s="675"/>
      <c r="I53" s="675"/>
      <c r="J53" s="675"/>
      <c r="K53" s="675"/>
      <c r="L53" s="675"/>
      <c r="M53" s="675"/>
      <c r="N53" s="675"/>
      <c r="O53" s="676"/>
      <c r="P53" s="676"/>
      <c r="Q53" s="676">
        <f t="shared" si="1"/>
        <v>10000000</v>
      </c>
    </row>
    <row r="54" spans="1:17" ht="15.75" x14ac:dyDescent="0.2">
      <c r="A54" s="673">
        <v>196</v>
      </c>
      <c r="B54" s="674" t="s">
        <v>1619</v>
      </c>
      <c r="C54" s="675"/>
      <c r="D54" s="675"/>
      <c r="E54" s="675">
        <v>15306</v>
      </c>
      <c r="F54" s="675"/>
      <c r="G54" s="675"/>
      <c r="H54" s="675"/>
      <c r="I54" s="675"/>
      <c r="J54" s="675"/>
      <c r="K54" s="675"/>
      <c r="L54" s="675"/>
      <c r="M54" s="675"/>
      <c r="N54" s="675"/>
      <c r="O54" s="676"/>
      <c r="P54" s="676"/>
      <c r="Q54" s="676">
        <f t="shared" si="1"/>
        <v>15306</v>
      </c>
    </row>
    <row r="55" spans="1:17" ht="15.75" x14ac:dyDescent="0.2">
      <c r="A55" s="548">
        <v>209</v>
      </c>
      <c r="B55" s="545" t="s">
        <v>946</v>
      </c>
      <c r="C55" s="546">
        <f>SUM(C51:C54)</f>
        <v>92011</v>
      </c>
      <c r="D55" s="546"/>
      <c r="E55" s="546">
        <f>SUM(E51:E54)</f>
        <v>20439757</v>
      </c>
      <c r="F55" s="546">
        <f>SUM(F51:F51)</f>
        <v>0</v>
      </c>
      <c r="G55" s="546"/>
      <c r="H55" s="546">
        <f>SUM(H51:H51)</f>
        <v>130274</v>
      </c>
      <c r="I55" s="546">
        <f>SUM(I51:I51)</f>
        <v>0</v>
      </c>
      <c r="J55" s="546"/>
      <c r="K55" s="546">
        <f>SUM(K51:K51)</f>
        <v>0</v>
      </c>
      <c r="L55" s="546">
        <f>SUM(L51:L51)</f>
        <v>0</v>
      </c>
      <c r="M55" s="546"/>
      <c r="N55" s="546">
        <f>SUM(N51:N51)</f>
        <v>0</v>
      </c>
      <c r="O55" s="544">
        <f t="shared" si="0"/>
        <v>92011</v>
      </c>
      <c r="P55" s="544">
        <f t="shared" si="1"/>
        <v>0</v>
      </c>
      <c r="Q55" s="544">
        <f t="shared" si="1"/>
        <v>20570031</v>
      </c>
    </row>
    <row r="56" spans="1:17" ht="15.75" x14ac:dyDescent="0.2">
      <c r="A56" s="550">
        <v>222</v>
      </c>
      <c r="B56" s="551" t="s">
        <v>947</v>
      </c>
      <c r="C56" s="542">
        <v>94048925</v>
      </c>
      <c r="D56" s="542"/>
      <c r="E56" s="542">
        <v>86341860</v>
      </c>
      <c r="F56" s="542"/>
      <c r="G56" s="542"/>
      <c r="H56" s="542"/>
      <c r="I56" s="542"/>
      <c r="J56" s="542"/>
      <c r="K56" s="542"/>
      <c r="L56" s="542"/>
      <c r="M56" s="542"/>
      <c r="N56" s="542"/>
      <c r="O56" s="544">
        <f t="shared" si="0"/>
        <v>94048925</v>
      </c>
      <c r="P56" s="544">
        <f t="shared" si="1"/>
        <v>0</v>
      </c>
      <c r="Q56" s="544">
        <f t="shared" si="1"/>
        <v>86341860</v>
      </c>
    </row>
    <row r="57" spans="1:17" ht="15.75" x14ac:dyDescent="0.2">
      <c r="A57" s="550">
        <v>233</v>
      </c>
      <c r="B57" s="554" t="s">
        <v>948</v>
      </c>
      <c r="C57" s="546">
        <f>SUM(C56:C56)</f>
        <v>94048925</v>
      </c>
      <c r="D57" s="546"/>
      <c r="E57" s="546">
        <f>SUM(E56:E56)</f>
        <v>86341860</v>
      </c>
      <c r="F57" s="546">
        <f>SUM(F56:F56)</f>
        <v>0</v>
      </c>
      <c r="G57" s="546"/>
      <c r="H57" s="546">
        <f>SUM(H56:H56)</f>
        <v>0</v>
      </c>
      <c r="I57" s="546">
        <f>SUM(I56:I56)</f>
        <v>0</v>
      </c>
      <c r="J57" s="546"/>
      <c r="K57" s="546">
        <f>SUM(K56:K56)</f>
        <v>0</v>
      </c>
      <c r="L57" s="546">
        <f>SUM(L56:L56)</f>
        <v>0</v>
      </c>
      <c r="M57" s="546"/>
      <c r="N57" s="546">
        <f>SUM(N56:N56)</f>
        <v>0</v>
      </c>
      <c r="O57" s="544">
        <f t="shared" si="0"/>
        <v>94048925</v>
      </c>
      <c r="P57" s="544">
        <f t="shared" si="1"/>
        <v>0</v>
      </c>
      <c r="Q57" s="544">
        <f t="shared" si="1"/>
        <v>86341860</v>
      </c>
    </row>
    <row r="58" spans="1:17" ht="15.75" x14ac:dyDescent="0.2">
      <c r="A58" s="548">
        <v>234</v>
      </c>
      <c r="B58" s="541" t="s">
        <v>949</v>
      </c>
      <c r="C58" s="542">
        <v>7505690</v>
      </c>
      <c r="D58" s="542"/>
      <c r="E58" s="542">
        <v>11461997</v>
      </c>
      <c r="F58" s="542"/>
      <c r="G58" s="542"/>
      <c r="H58" s="542"/>
      <c r="I58" s="542"/>
      <c r="J58" s="542"/>
      <c r="K58" s="542">
        <v>12000</v>
      </c>
      <c r="L58" s="542"/>
      <c r="M58" s="542"/>
      <c r="N58" s="542"/>
      <c r="O58" s="544">
        <f t="shared" si="0"/>
        <v>7505690</v>
      </c>
      <c r="P58" s="544">
        <f t="shared" si="1"/>
        <v>0</v>
      </c>
      <c r="Q58" s="544">
        <f t="shared" si="1"/>
        <v>11473997</v>
      </c>
    </row>
    <row r="59" spans="1:17" ht="15.75" x14ac:dyDescent="0.2">
      <c r="A59" s="550">
        <v>240</v>
      </c>
      <c r="B59" s="551" t="s">
        <v>950</v>
      </c>
      <c r="C59" s="542">
        <v>762700</v>
      </c>
      <c r="D59" s="542"/>
      <c r="E59" s="542">
        <v>200000</v>
      </c>
      <c r="F59" s="542"/>
      <c r="G59" s="542"/>
      <c r="H59" s="542"/>
      <c r="I59" s="542"/>
      <c r="J59" s="542"/>
      <c r="K59" s="542"/>
      <c r="L59" s="542"/>
      <c r="M59" s="542"/>
      <c r="N59" s="542"/>
      <c r="O59" s="544">
        <f t="shared" si="0"/>
        <v>762700</v>
      </c>
      <c r="P59" s="544">
        <f t="shared" si="1"/>
        <v>0</v>
      </c>
      <c r="Q59" s="544">
        <f t="shared" si="1"/>
        <v>200000</v>
      </c>
    </row>
    <row r="60" spans="1:17" ht="20.25" customHeight="1" x14ac:dyDescent="0.2">
      <c r="A60" s="550">
        <v>243</v>
      </c>
      <c r="B60" s="545" t="s">
        <v>951</v>
      </c>
      <c r="C60" s="546">
        <f>SUM(C58:C59)</f>
        <v>8268390</v>
      </c>
      <c r="D60" s="546"/>
      <c r="E60" s="546">
        <f>SUM(E58:E59)</f>
        <v>11661997</v>
      </c>
      <c r="F60" s="546">
        <f>SUM(F58:F59)</f>
        <v>0</v>
      </c>
      <c r="G60" s="546"/>
      <c r="H60" s="546">
        <f>SUM(H58:H59)</f>
        <v>0</v>
      </c>
      <c r="I60" s="546">
        <f>SUM(I58:I59)</f>
        <v>0</v>
      </c>
      <c r="J60" s="546"/>
      <c r="K60" s="546">
        <f>SUM(K58:K59)</f>
        <v>12000</v>
      </c>
      <c r="L60" s="546">
        <f>SUM(L58:L59)</f>
        <v>0</v>
      </c>
      <c r="M60" s="546"/>
      <c r="N60" s="546">
        <f>SUM(N58:N59)</f>
        <v>0</v>
      </c>
      <c r="O60" s="544">
        <f t="shared" si="0"/>
        <v>8268390</v>
      </c>
      <c r="P60" s="544">
        <f t="shared" si="1"/>
        <v>0</v>
      </c>
      <c r="Q60" s="544">
        <f t="shared" si="1"/>
        <v>11673997</v>
      </c>
    </row>
    <row r="61" spans="1:17" ht="15.75" x14ac:dyDescent="0.2">
      <c r="A61" s="550">
        <v>244</v>
      </c>
      <c r="B61" s="545" t="s">
        <v>952</v>
      </c>
      <c r="C61" s="546">
        <f>C55+C60+C57</f>
        <v>102409326</v>
      </c>
      <c r="D61" s="546"/>
      <c r="E61" s="546">
        <f>E55+E60+E57</f>
        <v>118443614</v>
      </c>
      <c r="F61" s="546">
        <f>F55+F60+G57</f>
        <v>0</v>
      </c>
      <c r="G61" s="546"/>
      <c r="H61" s="546">
        <f>H55+H60+I57</f>
        <v>130274</v>
      </c>
      <c r="I61" s="546">
        <f>I55+I60+I57</f>
        <v>0</v>
      </c>
      <c r="J61" s="546"/>
      <c r="K61" s="546">
        <f>K55+K60+K57</f>
        <v>12000</v>
      </c>
      <c r="L61" s="546">
        <f>L55+L60+L57</f>
        <v>0</v>
      </c>
      <c r="M61" s="546"/>
      <c r="N61" s="546">
        <f>N55+N60+S57</f>
        <v>0</v>
      </c>
      <c r="O61" s="544">
        <f t="shared" si="0"/>
        <v>102409326</v>
      </c>
      <c r="P61" s="544">
        <f t="shared" si="1"/>
        <v>0</v>
      </c>
      <c r="Q61" s="544">
        <f t="shared" si="1"/>
        <v>118585888</v>
      </c>
    </row>
    <row r="62" spans="1:17" ht="21.75" customHeight="1" x14ac:dyDescent="0.2">
      <c r="A62" s="673">
        <v>246</v>
      </c>
      <c r="B62" s="679" t="s">
        <v>1620</v>
      </c>
      <c r="C62" s="675"/>
      <c r="D62" s="675"/>
      <c r="E62" s="675">
        <v>3403611</v>
      </c>
      <c r="F62" s="675"/>
      <c r="G62" s="675"/>
      <c r="H62" s="675"/>
      <c r="I62" s="675"/>
      <c r="J62" s="675"/>
      <c r="K62" s="675"/>
      <c r="L62" s="675"/>
      <c r="M62" s="675"/>
      <c r="N62" s="675"/>
      <c r="O62" s="676"/>
      <c r="P62" s="676"/>
      <c r="Q62" s="676"/>
    </row>
    <row r="63" spans="1:17" ht="15.75" x14ac:dyDescent="0.2">
      <c r="A63" s="550">
        <v>247</v>
      </c>
      <c r="B63" s="541" t="s">
        <v>953</v>
      </c>
      <c r="C63" s="542">
        <v>7041478</v>
      </c>
      <c r="D63" s="542"/>
      <c r="E63" s="542">
        <v>5474083</v>
      </c>
      <c r="F63" s="542">
        <v>8076659</v>
      </c>
      <c r="G63" s="542"/>
      <c r="H63" s="542">
        <v>8113157</v>
      </c>
      <c r="I63" s="542">
        <v>7393271</v>
      </c>
      <c r="J63" s="542"/>
      <c r="K63" s="542">
        <v>7847586</v>
      </c>
      <c r="L63" s="542">
        <v>919819</v>
      </c>
      <c r="M63" s="542"/>
      <c r="N63" s="542">
        <v>1292367</v>
      </c>
      <c r="O63" s="544">
        <f t="shared" si="0"/>
        <v>23431227</v>
      </c>
      <c r="P63" s="544">
        <f t="shared" si="1"/>
        <v>0</v>
      </c>
      <c r="Q63" s="544">
        <f t="shared" si="1"/>
        <v>22727193</v>
      </c>
    </row>
    <row r="64" spans="1:17" ht="15.75" x14ac:dyDescent="0.2">
      <c r="A64" s="550">
        <v>248</v>
      </c>
      <c r="B64" s="541" t="s">
        <v>954</v>
      </c>
      <c r="C64" s="542">
        <v>585875154</v>
      </c>
      <c r="D64" s="542"/>
      <c r="E64" s="542">
        <v>1249753871</v>
      </c>
      <c r="F64" s="542"/>
      <c r="G64" s="542"/>
      <c r="H64" s="542"/>
      <c r="I64" s="542"/>
      <c r="J64" s="542"/>
      <c r="K64" s="542"/>
      <c r="L64" s="542"/>
      <c r="M64" s="542"/>
      <c r="N64" s="542">
        <v>18887689</v>
      </c>
      <c r="O64" s="544">
        <f t="shared" si="0"/>
        <v>585875154</v>
      </c>
      <c r="P64" s="544">
        <f t="shared" si="1"/>
        <v>0</v>
      </c>
      <c r="Q64" s="544">
        <f t="shared" si="1"/>
        <v>1268641560</v>
      </c>
    </row>
    <row r="65" spans="1:17" ht="15.75" x14ac:dyDescent="0.2">
      <c r="A65" s="550" t="s">
        <v>955</v>
      </c>
      <c r="B65" s="545" t="s">
        <v>956</v>
      </c>
      <c r="C65" s="546">
        <f>SUM(C62:C64)</f>
        <v>592916632</v>
      </c>
      <c r="D65" s="546"/>
      <c r="E65" s="546">
        <f>SUM(E62:E64)</f>
        <v>1258631565</v>
      </c>
      <c r="F65" s="546">
        <f>SUM(F63:F64)</f>
        <v>8076659</v>
      </c>
      <c r="G65" s="546"/>
      <c r="H65" s="546">
        <f>SUM(H63:H64)</f>
        <v>8113157</v>
      </c>
      <c r="I65" s="546">
        <f>SUM(I63:I64)</f>
        <v>7393271</v>
      </c>
      <c r="J65" s="546"/>
      <c r="K65" s="546">
        <f>SUM(K63:K64)</f>
        <v>7847586</v>
      </c>
      <c r="L65" s="546">
        <f>SUM(L63:L64)</f>
        <v>919819</v>
      </c>
      <c r="M65" s="546"/>
      <c r="N65" s="546">
        <f>SUM(N63:N64)</f>
        <v>20180056</v>
      </c>
      <c r="O65" s="544">
        <f t="shared" si="0"/>
        <v>609306381</v>
      </c>
      <c r="P65" s="544">
        <f t="shared" si="1"/>
        <v>0</v>
      </c>
      <c r="Q65" s="544">
        <f t="shared" si="1"/>
        <v>1294772364</v>
      </c>
    </row>
    <row r="66" spans="1:17" ht="30" customHeight="1" x14ac:dyDescent="0.2">
      <c r="A66" s="555" t="s">
        <v>957</v>
      </c>
      <c r="B66" s="556" t="s">
        <v>958</v>
      </c>
      <c r="C66" s="544">
        <f>C50+C61+C65</f>
        <v>5547765643</v>
      </c>
      <c r="D66" s="544">
        <f>D50+D61+D65</f>
        <v>0</v>
      </c>
      <c r="E66" s="544">
        <f>E50+E61+E65</f>
        <v>6370050314</v>
      </c>
      <c r="F66" s="544">
        <f t="shared" ref="F66" si="13">F50+F61+F65</f>
        <v>7913057</v>
      </c>
      <c r="G66" s="544">
        <f>G50+G61+G65</f>
        <v>0</v>
      </c>
      <c r="H66" s="544">
        <f>H50+H61+H65</f>
        <v>4304817</v>
      </c>
      <c r="I66" s="544">
        <f t="shared" ref="I66" si="14">I50+I61+I65</f>
        <v>15111308</v>
      </c>
      <c r="J66" s="544">
        <f>J50+J61+J65</f>
        <v>0</v>
      </c>
      <c r="K66" s="544">
        <f>K50+K61+K65</f>
        <v>11622569</v>
      </c>
      <c r="L66" s="544">
        <f t="shared" ref="L66" si="15">L50+L61+L65</f>
        <v>5588803</v>
      </c>
      <c r="M66" s="544">
        <f>M50+M61+M65</f>
        <v>0</v>
      </c>
      <c r="N66" s="544">
        <f>N50+N61+N65</f>
        <v>30409224</v>
      </c>
      <c r="O66" s="544">
        <f t="shared" ref="O66" si="16">SUM(C66+F66+I66+L66)</f>
        <v>5576378811</v>
      </c>
      <c r="P66" s="544">
        <f t="shared" si="1"/>
        <v>0</v>
      </c>
      <c r="Q66" s="544">
        <f t="shared" si="1"/>
        <v>6416386924</v>
      </c>
    </row>
    <row r="67" spans="1:17" x14ac:dyDescent="0.2">
      <c r="F67" s="557"/>
      <c r="G67" s="557"/>
      <c r="H67" s="557"/>
      <c r="I67" s="557"/>
      <c r="J67" s="557"/>
      <c r="K67" s="557"/>
      <c r="L67" s="557"/>
      <c r="M67" s="557"/>
      <c r="N67" s="557"/>
      <c r="O67" s="557"/>
      <c r="P67" s="557"/>
      <c r="Q67" s="557"/>
    </row>
    <row r="68" spans="1:17" x14ac:dyDescent="0.2">
      <c r="A68" s="558"/>
      <c r="B68" s="558"/>
      <c r="C68" s="558"/>
      <c r="D68" s="558"/>
      <c r="E68" s="558"/>
      <c r="F68" s="557"/>
      <c r="G68" s="557"/>
      <c r="H68" s="557"/>
      <c r="I68" s="557"/>
      <c r="J68" s="557"/>
      <c r="K68" s="557"/>
      <c r="L68" s="557"/>
      <c r="M68" s="557"/>
      <c r="N68" s="557"/>
      <c r="O68" s="557"/>
      <c r="P68" s="557"/>
      <c r="Q68" s="557"/>
    </row>
    <row r="69" spans="1:17" x14ac:dyDescent="0.2">
      <c r="F69" s="557"/>
      <c r="G69" s="557"/>
      <c r="H69" s="557"/>
      <c r="I69" s="557"/>
      <c r="J69" s="557"/>
      <c r="K69" s="557"/>
      <c r="L69" s="557"/>
      <c r="M69" s="557"/>
      <c r="N69" s="557"/>
      <c r="O69" s="557"/>
      <c r="P69" s="557"/>
      <c r="Q69" s="557"/>
    </row>
    <row r="70" spans="1:17" x14ac:dyDescent="0.2">
      <c r="F70" s="557"/>
      <c r="G70" s="557"/>
      <c r="H70" s="557"/>
      <c r="I70" s="557"/>
      <c r="J70" s="557"/>
      <c r="K70" s="557"/>
      <c r="L70" s="557"/>
      <c r="M70" s="557"/>
      <c r="N70" s="557"/>
      <c r="O70" s="557"/>
      <c r="P70" s="557"/>
      <c r="Q70" s="557"/>
    </row>
    <row r="71" spans="1:17" x14ac:dyDescent="0.2">
      <c r="F71" s="557"/>
      <c r="G71" s="557"/>
      <c r="H71" s="557"/>
      <c r="I71" s="557"/>
      <c r="J71" s="557"/>
      <c r="K71" s="557"/>
      <c r="L71" s="557"/>
      <c r="M71" s="557"/>
      <c r="N71" s="557"/>
      <c r="O71" s="557"/>
      <c r="P71" s="557"/>
      <c r="Q71" s="557"/>
    </row>
    <row r="72" spans="1:17" x14ac:dyDescent="0.2">
      <c r="F72" s="557"/>
      <c r="G72" s="557"/>
      <c r="H72" s="557"/>
      <c r="I72" s="557"/>
      <c r="J72" s="557"/>
      <c r="K72" s="557"/>
      <c r="L72" s="557"/>
      <c r="M72" s="557"/>
      <c r="N72" s="557"/>
      <c r="O72" s="557"/>
      <c r="P72" s="557"/>
      <c r="Q72" s="557"/>
    </row>
    <row r="73" spans="1:17" x14ac:dyDescent="0.2">
      <c r="F73" s="557"/>
      <c r="G73" s="557"/>
      <c r="H73" s="557"/>
      <c r="I73" s="557"/>
      <c r="J73" s="557"/>
      <c r="K73" s="557"/>
      <c r="L73" s="557"/>
      <c r="M73" s="557"/>
      <c r="N73" s="557"/>
      <c r="O73" s="557"/>
      <c r="P73" s="557"/>
      <c r="Q73" s="557"/>
    </row>
    <row r="74" spans="1:17" x14ac:dyDescent="0.2">
      <c r="F74" s="557"/>
      <c r="G74" s="557"/>
      <c r="H74" s="557"/>
      <c r="I74" s="557"/>
      <c r="J74" s="557"/>
      <c r="K74" s="557"/>
      <c r="L74" s="810"/>
      <c r="M74" s="557"/>
      <c r="N74" s="557"/>
      <c r="O74" s="557"/>
      <c r="P74" s="557"/>
      <c r="Q74" s="557"/>
    </row>
    <row r="75" spans="1:17" x14ac:dyDescent="0.2">
      <c r="F75" s="557"/>
      <c r="G75" s="557"/>
      <c r="H75" s="557"/>
      <c r="I75" s="557"/>
      <c r="J75" s="557"/>
      <c r="K75" s="557"/>
      <c r="L75" s="557"/>
      <c r="M75" s="557"/>
      <c r="N75" s="557"/>
      <c r="O75" s="557"/>
      <c r="P75" s="557"/>
      <c r="Q75" s="557"/>
    </row>
    <row r="76" spans="1:17" x14ac:dyDescent="0.2">
      <c r="F76" s="557"/>
      <c r="G76" s="557"/>
      <c r="H76" s="557"/>
      <c r="I76" s="557"/>
      <c r="J76" s="557"/>
      <c r="K76" s="557"/>
      <c r="L76" s="557"/>
      <c r="M76" s="557"/>
      <c r="N76" s="557"/>
      <c r="O76" s="557"/>
      <c r="P76" s="557"/>
      <c r="Q76" s="557"/>
    </row>
    <row r="77" spans="1:17" x14ac:dyDescent="0.2">
      <c r="F77" s="557"/>
      <c r="G77" s="557"/>
      <c r="H77" s="557"/>
      <c r="I77" s="557"/>
      <c r="J77" s="557"/>
      <c r="K77" s="557"/>
      <c r="L77" s="557"/>
      <c r="M77" s="557"/>
      <c r="N77" s="557"/>
      <c r="O77" s="557"/>
      <c r="P77" s="557"/>
      <c r="Q77" s="557"/>
    </row>
    <row r="78" spans="1:17" x14ac:dyDescent="0.2">
      <c r="F78" s="557"/>
      <c r="G78" s="557"/>
      <c r="H78" s="557"/>
      <c r="I78" s="557"/>
      <c r="J78" s="557"/>
      <c r="K78" s="557"/>
      <c r="L78" s="557"/>
      <c r="M78" s="557"/>
      <c r="N78" s="557"/>
      <c r="O78" s="557"/>
      <c r="P78" s="557"/>
      <c r="Q78" s="557"/>
    </row>
    <row r="79" spans="1:17" x14ac:dyDescent="0.2">
      <c r="F79" s="557"/>
      <c r="G79" s="557"/>
      <c r="H79" s="557"/>
      <c r="I79" s="557"/>
      <c r="J79" s="557"/>
      <c r="K79" s="557"/>
      <c r="L79" s="557"/>
      <c r="M79" s="557"/>
      <c r="N79" s="557"/>
      <c r="O79" s="557"/>
      <c r="P79" s="557"/>
      <c r="Q79" s="557"/>
    </row>
    <row r="80" spans="1:17" x14ac:dyDescent="0.2">
      <c r="F80" s="557"/>
      <c r="G80" s="557"/>
      <c r="H80" s="557"/>
      <c r="I80" s="557"/>
      <c r="J80" s="557"/>
      <c r="K80" s="557"/>
      <c r="L80" s="557"/>
      <c r="M80" s="557"/>
      <c r="N80" s="557"/>
      <c r="O80" s="557"/>
      <c r="P80" s="557"/>
      <c r="Q80" s="557"/>
    </row>
    <row r="81" spans="6:17" x14ac:dyDescent="0.2">
      <c r="F81" s="557"/>
      <c r="G81" s="557"/>
      <c r="H81" s="557"/>
      <c r="I81" s="557"/>
      <c r="J81" s="557"/>
      <c r="K81" s="557"/>
      <c r="L81" s="557"/>
      <c r="M81" s="557"/>
      <c r="N81" s="557"/>
      <c r="O81" s="557"/>
      <c r="P81" s="557"/>
      <c r="Q81" s="557"/>
    </row>
    <row r="82" spans="6:17" x14ac:dyDescent="0.2">
      <c r="F82" s="557"/>
      <c r="G82" s="557"/>
      <c r="H82" s="557"/>
      <c r="I82" s="557"/>
      <c r="J82" s="557"/>
      <c r="K82" s="557"/>
      <c r="L82" s="557"/>
      <c r="M82" s="557"/>
      <c r="N82" s="557"/>
      <c r="O82" s="557"/>
      <c r="P82" s="557"/>
      <c r="Q82" s="557"/>
    </row>
    <row r="83" spans="6:17" x14ac:dyDescent="0.2">
      <c r="F83" s="557"/>
      <c r="G83" s="557"/>
      <c r="H83" s="557"/>
      <c r="I83" s="557"/>
      <c r="J83" s="557"/>
      <c r="K83" s="557"/>
      <c r="L83" s="557"/>
      <c r="M83" s="557"/>
      <c r="N83" s="557"/>
      <c r="O83" s="557"/>
      <c r="P83" s="557"/>
      <c r="Q83" s="557"/>
    </row>
    <row r="84" spans="6:17" x14ac:dyDescent="0.2">
      <c r="F84" s="557"/>
      <c r="G84" s="557"/>
      <c r="H84" s="557"/>
      <c r="I84" s="557"/>
      <c r="J84" s="557"/>
      <c r="K84" s="557"/>
      <c r="L84" s="557"/>
      <c r="M84" s="557"/>
      <c r="N84" s="557"/>
      <c r="O84" s="557"/>
      <c r="P84" s="557"/>
      <c r="Q84" s="557"/>
    </row>
    <row r="85" spans="6:17" x14ac:dyDescent="0.2">
      <c r="F85" s="557"/>
      <c r="G85" s="557"/>
      <c r="H85" s="557"/>
      <c r="I85" s="557"/>
      <c r="J85" s="557"/>
      <c r="K85" s="557"/>
      <c r="L85" s="557"/>
      <c r="M85" s="557"/>
      <c r="N85" s="557"/>
      <c r="O85" s="557"/>
      <c r="P85" s="557"/>
      <c r="Q85" s="557"/>
    </row>
    <row r="86" spans="6:17" x14ac:dyDescent="0.2">
      <c r="F86" s="557"/>
      <c r="G86" s="557"/>
      <c r="H86" s="557"/>
      <c r="I86" s="557"/>
      <c r="J86" s="557"/>
      <c r="K86" s="557"/>
      <c r="L86" s="557"/>
      <c r="M86" s="557"/>
      <c r="N86" s="557"/>
      <c r="O86" s="557"/>
      <c r="P86" s="557"/>
      <c r="Q86" s="557"/>
    </row>
    <row r="87" spans="6:17" x14ac:dyDescent="0.2">
      <c r="F87" s="557"/>
      <c r="G87" s="557"/>
      <c r="H87" s="557"/>
      <c r="I87" s="557"/>
      <c r="J87" s="557"/>
      <c r="K87" s="557"/>
      <c r="L87" s="557"/>
      <c r="M87" s="557"/>
      <c r="N87" s="557"/>
      <c r="O87" s="557"/>
      <c r="P87" s="557"/>
      <c r="Q87" s="557"/>
    </row>
    <row r="88" spans="6:17" x14ac:dyDescent="0.2">
      <c r="F88" s="557"/>
      <c r="G88" s="557"/>
      <c r="H88" s="557"/>
      <c r="I88" s="557"/>
      <c r="J88" s="557"/>
      <c r="K88" s="557"/>
      <c r="L88" s="557"/>
      <c r="M88" s="557"/>
      <c r="N88" s="557"/>
      <c r="O88" s="557"/>
      <c r="P88" s="557"/>
      <c r="Q88" s="557"/>
    </row>
    <row r="89" spans="6:17" x14ac:dyDescent="0.2">
      <c r="F89" s="557"/>
      <c r="G89" s="557"/>
      <c r="H89" s="557"/>
      <c r="I89" s="557"/>
      <c r="J89" s="557"/>
      <c r="K89" s="557"/>
      <c r="L89" s="557"/>
      <c r="M89" s="557"/>
      <c r="N89" s="557"/>
      <c r="O89" s="557"/>
      <c r="P89" s="557"/>
      <c r="Q89" s="557"/>
    </row>
    <row r="90" spans="6:17" x14ac:dyDescent="0.2">
      <c r="F90" s="557"/>
      <c r="G90" s="557"/>
      <c r="H90" s="557"/>
      <c r="I90" s="557"/>
      <c r="J90" s="557"/>
      <c r="K90" s="557"/>
      <c r="L90" s="557"/>
      <c r="M90" s="557"/>
      <c r="N90" s="557"/>
      <c r="O90" s="557"/>
      <c r="P90" s="557"/>
      <c r="Q90" s="557"/>
    </row>
    <row r="91" spans="6:17" x14ac:dyDescent="0.2">
      <c r="F91" s="557"/>
      <c r="G91" s="557"/>
      <c r="H91" s="557"/>
      <c r="I91" s="557"/>
      <c r="J91" s="557"/>
      <c r="K91" s="557"/>
      <c r="L91" s="557"/>
      <c r="M91" s="557"/>
      <c r="N91" s="557"/>
      <c r="O91" s="557"/>
      <c r="P91" s="557"/>
      <c r="Q91" s="557"/>
    </row>
    <row r="92" spans="6:17" x14ac:dyDescent="0.2">
      <c r="F92" s="557"/>
      <c r="G92" s="557"/>
      <c r="H92" s="557"/>
      <c r="I92" s="557"/>
      <c r="J92" s="557"/>
      <c r="K92" s="557"/>
      <c r="L92" s="557"/>
      <c r="M92" s="557"/>
      <c r="N92" s="557"/>
      <c r="O92" s="557"/>
      <c r="P92" s="557"/>
      <c r="Q92" s="557"/>
    </row>
    <row r="93" spans="6:17" x14ac:dyDescent="0.2">
      <c r="F93" s="557"/>
      <c r="G93" s="557"/>
      <c r="H93" s="557"/>
      <c r="I93" s="557"/>
      <c r="J93" s="557"/>
      <c r="K93" s="557"/>
      <c r="L93" s="557"/>
      <c r="M93" s="557"/>
      <c r="N93" s="557"/>
      <c r="O93" s="557"/>
      <c r="P93" s="557"/>
      <c r="Q93" s="557"/>
    </row>
    <row r="94" spans="6:17" x14ac:dyDescent="0.2">
      <c r="F94" s="557"/>
      <c r="G94" s="557"/>
      <c r="H94" s="557"/>
      <c r="I94" s="557"/>
      <c r="J94" s="557"/>
      <c r="K94" s="557"/>
      <c r="L94" s="557"/>
      <c r="M94" s="557"/>
      <c r="N94" s="557"/>
      <c r="O94" s="557"/>
      <c r="P94" s="557"/>
      <c r="Q94" s="557"/>
    </row>
    <row r="95" spans="6:17" x14ac:dyDescent="0.2">
      <c r="F95" s="557"/>
      <c r="G95" s="557"/>
      <c r="H95" s="557"/>
      <c r="I95" s="557"/>
      <c r="J95" s="557"/>
      <c r="K95" s="557"/>
      <c r="L95" s="557"/>
      <c r="M95" s="557"/>
      <c r="N95" s="557"/>
      <c r="O95" s="557"/>
      <c r="P95" s="557"/>
      <c r="Q95" s="557"/>
    </row>
    <row r="96" spans="6:17" x14ac:dyDescent="0.2">
      <c r="F96" s="557"/>
      <c r="G96" s="557"/>
      <c r="H96" s="557"/>
      <c r="I96" s="557"/>
      <c r="J96" s="557"/>
      <c r="K96" s="557"/>
      <c r="L96" s="557"/>
      <c r="M96" s="557"/>
      <c r="N96" s="557"/>
      <c r="O96" s="557"/>
      <c r="P96" s="557"/>
      <c r="Q96" s="557"/>
    </row>
    <row r="97" spans="6:17" x14ac:dyDescent="0.2">
      <c r="F97" s="557"/>
      <c r="G97" s="557"/>
      <c r="H97" s="557"/>
      <c r="I97" s="557"/>
      <c r="J97" s="557"/>
      <c r="K97" s="557"/>
      <c r="L97" s="557"/>
      <c r="M97" s="557"/>
      <c r="N97" s="557"/>
      <c r="O97" s="557"/>
      <c r="P97" s="557"/>
      <c r="Q97" s="557"/>
    </row>
    <row r="98" spans="6:17" x14ac:dyDescent="0.2">
      <c r="F98" s="557"/>
      <c r="G98" s="557"/>
      <c r="H98" s="557"/>
      <c r="I98" s="557"/>
      <c r="J98" s="557"/>
      <c r="K98" s="557"/>
      <c r="L98" s="557"/>
      <c r="M98" s="557"/>
      <c r="N98" s="557"/>
      <c r="O98" s="557"/>
      <c r="P98" s="557"/>
      <c r="Q98" s="557"/>
    </row>
    <row r="99" spans="6:17" x14ac:dyDescent="0.2">
      <c r="F99" s="557"/>
      <c r="G99" s="557"/>
      <c r="H99" s="557"/>
      <c r="I99" s="557"/>
      <c r="J99" s="557"/>
      <c r="K99" s="557"/>
      <c r="L99" s="557"/>
      <c r="M99" s="557"/>
      <c r="N99" s="557"/>
      <c r="O99" s="557"/>
      <c r="P99" s="557"/>
      <c r="Q99" s="557"/>
    </row>
    <row r="100" spans="6:17" x14ac:dyDescent="0.2">
      <c r="F100" s="557"/>
      <c r="G100" s="557"/>
      <c r="H100" s="557"/>
      <c r="I100" s="557"/>
      <c r="J100" s="557"/>
      <c r="K100" s="557"/>
      <c r="L100" s="557"/>
      <c r="M100" s="557"/>
      <c r="N100" s="557"/>
      <c r="O100" s="557"/>
      <c r="P100" s="557"/>
      <c r="Q100" s="557"/>
    </row>
    <row r="101" spans="6:17" x14ac:dyDescent="0.2">
      <c r="F101" s="557"/>
      <c r="G101" s="557"/>
      <c r="H101" s="557"/>
      <c r="I101" s="557"/>
      <c r="J101" s="557"/>
      <c r="K101" s="557"/>
      <c r="L101" s="557"/>
      <c r="M101" s="557"/>
      <c r="N101" s="557"/>
      <c r="O101" s="557"/>
      <c r="P101" s="557"/>
      <c r="Q101" s="557"/>
    </row>
    <row r="102" spans="6:17" x14ac:dyDescent="0.2">
      <c r="F102" s="557"/>
      <c r="G102" s="557"/>
      <c r="H102" s="557"/>
      <c r="I102" s="557"/>
      <c r="J102" s="557"/>
      <c r="K102" s="557"/>
      <c r="L102" s="557"/>
      <c r="M102" s="557"/>
      <c r="N102" s="557"/>
      <c r="O102" s="557"/>
      <c r="P102" s="557"/>
      <c r="Q102" s="557"/>
    </row>
    <row r="103" spans="6:17" x14ac:dyDescent="0.2">
      <c r="F103" s="557"/>
      <c r="G103" s="557"/>
      <c r="H103" s="557"/>
      <c r="I103" s="557"/>
      <c r="J103" s="557"/>
      <c r="K103" s="557"/>
      <c r="L103" s="557"/>
      <c r="M103" s="557"/>
      <c r="N103" s="557"/>
      <c r="O103" s="557"/>
      <c r="P103" s="557"/>
      <c r="Q103" s="557"/>
    </row>
    <row r="104" spans="6:17" x14ac:dyDescent="0.2">
      <c r="F104" s="557"/>
      <c r="G104" s="557"/>
      <c r="H104" s="557"/>
      <c r="I104" s="557"/>
      <c r="J104" s="557"/>
      <c r="K104" s="557"/>
      <c r="L104" s="557"/>
      <c r="M104" s="557"/>
      <c r="N104" s="557"/>
      <c r="O104" s="557"/>
      <c r="P104" s="557"/>
      <c r="Q104" s="557"/>
    </row>
    <row r="105" spans="6:17" x14ac:dyDescent="0.2">
      <c r="F105" s="557"/>
      <c r="G105" s="557"/>
      <c r="H105" s="557"/>
      <c r="I105" s="557"/>
      <c r="J105" s="557"/>
      <c r="K105" s="557"/>
      <c r="L105" s="557"/>
      <c r="M105" s="557"/>
      <c r="N105" s="557"/>
      <c r="O105" s="557"/>
      <c r="P105" s="557"/>
      <c r="Q105" s="557"/>
    </row>
    <row r="106" spans="6:17" x14ac:dyDescent="0.2">
      <c r="F106" s="557"/>
      <c r="G106" s="557"/>
      <c r="H106" s="557"/>
      <c r="I106" s="557"/>
      <c r="J106" s="557"/>
      <c r="K106" s="557"/>
      <c r="L106" s="557"/>
      <c r="M106" s="557"/>
      <c r="N106" s="557"/>
      <c r="O106" s="557"/>
      <c r="P106" s="557"/>
      <c r="Q106" s="557"/>
    </row>
    <row r="107" spans="6:17" x14ac:dyDescent="0.2">
      <c r="F107" s="557"/>
      <c r="G107" s="557"/>
      <c r="H107" s="557"/>
      <c r="I107" s="557"/>
      <c r="J107" s="557"/>
      <c r="K107" s="557"/>
      <c r="L107" s="557"/>
      <c r="M107" s="557"/>
      <c r="N107" s="557"/>
      <c r="O107" s="557"/>
      <c r="P107" s="557"/>
      <c r="Q107" s="557"/>
    </row>
    <row r="108" spans="6:17" x14ac:dyDescent="0.2">
      <c r="F108" s="557"/>
      <c r="G108" s="557"/>
      <c r="H108" s="557"/>
      <c r="I108" s="557"/>
      <c r="J108" s="557"/>
      <c r="K108" s="557"/>
      <c r="L108" s="557"/>
      <c r="M108" s="557"/>
      <c r="N108" s="557"/>
      <c r="O108" s="557"/>
      <c r="P108" s="557"/>
      <c r="Q108" s="557"/>
    </row>
    <row r="109" spans="6:17" x14ac:dyDescent="0.2">
      <c r="F109" s="557"/>
      <c r="G109" s="557"/>
      <c r="H109" s="557"/>
      <c r="I109" s="557"/>
      <c r="J109" s="557"/>
      <c r="K109" s="557"/>
      <c r="L109" s="557"/>
      <c r="M109" s="557"/>
      <c r="N109" s="557"/>
      <c r="O109" s="557"/>
      <c r="P109" s="557"/>
      <c r="Q109" s="557"/>
    </row>
    <row r="110" spans="6:17" x14ac:dyDescent="0.2">
      <c r="F110" s="557"/>
      <c r="G110" s="557"/>
      <c r="H110" s="557"/>
      <c r="I110" s="557"/>
      <c r="J110" s="557"/>
      <c r="K110" s="557"/>
      <c r="L110" s="557"/>
      <c r="M110" s="557"/>
      <c r="N110" s="557"/>
      <c r="O110" s="557"/>
      <c r="P110" s="557"/>
      <c r="Q110" s="557"/>
    </row>
    <row r="111" spans="6:17" x14ac:dyDescent="0.2">
      <c r="F111" s="557"/>
      <c r="G111" s="557"/>
      <c r="H111" s="557"/>
      <c r="I111" s="557"/>
      <c r="J111" s="557"/>
      <c r="K111" s="557"/>
      <c r="L111" s="557"/>
      <c r="M111" s="557"/>
      <c r="N111" s="557"/>
      <c r="O111" s="557"/>
      <c r="P111" s="557"/>
      <c r="Q111" s="557"/>
    </row>
    <row r="112" spans="6:17" x14ac:dyDescent="0.2">
      <c r="F112" s="557"/>
      <c r="G112" s="557"/>
      <c r="H112" s="557"/>
      <c r="I112" s="557"/>
      <c r="J112" s="557"/>
      <c r="K112" s="557"/>
      <c r="L112" s="557"/>
      <c r="M112" s="557"/>
      <c r="N112" s="557"/>
      <c r="O112" s="557"/>
      <c r="P112" s="557"/>
      <c r="Q112" s="557"/>
    </row>
    <row r="113" spans="6:17" x14ac:dyDescent="0.2">
      <c r="F113" s="557"/>
      <c r="G113" s="557"/>
      <c r="H113" s="557"/>
      <c r="I113" s="557"/>
      <c r="J113" s="557"/>
      <c r="K113" s="557"/>
      <c r="L113" s="557"/>
      <c r="M113" s="557"/>
      <c r="N113" s="557"/>
      <c r="O113" s="557"/>
      <c r="P113" s="557"/>
      <c r="Q113" s="557"/>
    </row>
    <row r="114" spans="6:17" x14ac:dyDescent="0.2">
      <c r="F114" s="557"/>
      <c r="G114" s="557"/>
      <c r="H114" s="557"/>
      <c r="I114" s="557"/>
      <c r="J114" s="557"/>
      <c r="K114" s="557"/>
      <c r="L114" s="557"/>
      <c r="M114" s="557"/>
      <c r="N114" s="557"/>
      <c r="O114" s="557"/>
      <c r="P114" s="557"/>
      <c r="Q114" s="557"/>
    </row>
    <row r="115" spans="6:17" x14ac:dyDescent="0.2">
      <c r="F115" s="557"/>
      <c r="G115" s="557"/>
      <c r="H115" s="557"/>
      <c r="I115" s="557"/>
      <c r="J115" s="557"/>
      <c r="K115" s="557"/>
      <c r="L115" s="557"/>
      <c r="M115" s="557"/>
      <c r="N115" s="557"/>
      <c r="O115" s="557"/>
      <c r="P115" s="557"/>
      <c r="Q115" s="557"/>
    </row>
    <row r="116" spans="6:17" x14ac:dyDescent="0.2">
      <c r="F116" s="557"/>
      <c r="G116" s="557"/>
      <c r="H116" s="557"/>
      <c r="I116" s="557"/>
      <c r="J116" s="557"/>
      <c r="K116" s="557"/>
      <c r="L116" s="557"/>
      <c r="M116" s="557"/>
      <c r="N116" s="557"/>
      <c r="O116" s="557"/>
      <c r="P116" s="557"/>
      <c r="Q116" s="557"/>
    </row>
    <row r="117" spans="6:17" x14ac:dyDescent="0.2">
      <c r="F117" s="557"/>
      <c r="G117" s="557"/>
      <c r="H117" s="557"/>
      <c r="I117" s="557"/>
      <c r="J117" s="557"/>
      <c r="K117" s="557"/>
      <c r="L117" s="557"/>
      <c r="M117" s="557"/>
      <c r="N117" s="557"/>
      <c r="O117" s="557"/>
      <c r="P117" s="557"/>
      <c r="Q117" s="557"/>
    </row>
    <row r="118" spans="6:17" x14ac:dyDescent="0.2">
      <c r="F118" s="557"/>
      <c r="G118" s="557"/>
      <c r="H118" s="557"/>
      <c r="I118" s="557"/>
      <c r="J118" s="557"/>
      <c r="K118" s="557"/>
      <c r="L118" s="557"/>
      <c r="M118" s="557"/>
      <c r="N118" s="557"/>
      <c r="O118" s="557"/>
      <c r="P118" s="557"/>
      <c r="Q118" s="557"/>
    </row>
    <row r="119" spans="6:17" x14ac:dyDescent="0.2">
      <c r="F119" s="557"/>
      <c r="G119" s="557"/>
      <c r="H119" s="557"/>
      <c r="I119" s="557"/>
      <c r="J119" s="557"/>
      <c r="K119" s="557"/>
      <c r="L119" s="557"/>
      <c r="M119" s="557"/>
      <c r="N119" s="557"/>
      <c r="O119" s="557"/>
      <c r="P119" s="557"/>
      <c r="Q119" s="557"/>
    </row>
    <row r="120" spans="6:17" x14ac:dyDescent="0.2">
      <c r="F120" s="557"/>
      <c r="G120" s="557"/>
      <c r="H120" s="557"/>
      <c r="I120" s="557"/>
      <c r="J120" s="557"/>
      <c r="K120" s="557"/>
      <c r="L120" s="557"/>
      <c r="M120" s="557"/>
      <c r="N120" s="557"/>
      <c r="O120" s="557"/>
      <c r="P120" s="557"/>
      <c r="Q120" s="557"/>
    </row>
    <row r="121" spans="6:17" x14ac:dyDescent="0.2">
      <c r="F121" s="557"/>
      <c r="G121" s="557"/>
      <c r="H121" s="557"/>
      <c r="I121" s="557"/>
      <c r="J121" s="557"/>
      <c r="K121" s="557"/>
      <c r="L121" s="557"/>
      <c r="M121" s="557"/>
      <c r="N121" s="557"/>
      <c r="O121" s="557"/>
      <c r="P121" s="557"/>
      <c r="Q121" s="557"/>
    </row>
    <row r="122" spans="6:17" x14ac:dyDescent="0.2">
      <c r="F122" s="557"/>
      <c r="G122" s="557"/>
      <c r="H122" s="557"/>
      <c r="I122" s="557"/>
      <c r="J122" s="557"/>
      <c r="K122" s="557"/>
      <c r="L122" s="557"/>
      <c r="M122" s="557"/>
      <c r="N122" s="557"/>
      <c r="O122" s="557"/>
      <c r="P122" s="557"/>
      <c r="Q122" s="557"/>
    </row>
    <row r="123" spans="6:17" x14ac:dyDescent="0.2">
      <c r="F123" s="557"/>
      <c r="G123" s="557"/>
      <c r="H123" s="557"/>
      <c r="I123" s="557"/>
      <c r="J123" s="557"/>
      <c r="K123" s="557"/>
      <c r="L123" s="557"/>
      <c r="M123" s="557"/>
      <c r="N123" s="557"/>
      <c r="O123" s="557"/>
      <c r="P123" s="557"/>
      <c r="Q123" s="557"/>
    </row>
    <row r="124" spans="6:17" x14ac:dyDescent="0.2">
      <c r="F124" s="557"/>
      <c r="G124" s="557"/>
      <c r="H124" s="557"/>
      <c r="I124" s="557"/>
      <c r="J124" s="557"/>
      <c r="K124" s="557"/>
      <c r="L124" s="557"/>
      <c r="M124" s="557"/>
      <c r="N124" s="557"/>
      <c r="O124" s="557"/>
      <c r="P124" s="557"/>
      <c r="Q124" s="557"/>
    </row>
    <row r="125" spans="6:17" x14ac:dyDescent="0.2">
      <c r="F125" s="557"/>
      <c r="G125" s="557"/>
      <c r="H125" s="557"/>
      <c r="I125" s="557"/>
      <c r="J125" s="557"/>
      <c r="K125" s="557"/>
      <c r="L125" s="557"/>
      <c r="M125" s="557"/>
      <c r="N125" s="557"/>
      <c r="O125" s="557"/>
      <c r="P125" s="557"/>
      <c r="Q125" s="557"/>
    </row>
    <row r="126" spans="6:17" x14ac:dyDescent="0.2">
      <c r="F126" s="557"/>
      <c r="G126" s="557"/>
      <c r="H126" s="557"/>
      <c r="I126" s="557"/>
      <c r="J126" s="557"/>
      <c r="K126" s="557"/>
      <c r="L126" s="557"/>
      <c r="M126" s="557"/>
      <c r="N126" s="557"/>
      <c r="O126" s="557"/>
      <c r="P126" s="557"/>
      <c r="Q126" s="557"/>
    </row>
    <row r="127" spans="6:17" x14ac:dyDescent="0.2">
      <c r="F127" s="557"/>
      <c r="G127" s="557"/>
      <c r="H127" s="557"/>
      <c r="I127" s="557"/>
      <c r="J127" s="557"/>
      <c r="K127" s="557"/>
      <c r="L127" s="557"/>
      <c r="M127" s="557"/>
      <c r="N127" s="557"/>
      <c r="O127" s="557"/>
      <c r="P127" s="557"/>
      <c r="Q127" s="557"/>
    </row>
    <row r="128" spans="6:17" x14ac:dyDescent="0.2">
      <c r="F128" s="557"/>
      <c r="G128" s="557"/>
      <c r="H128" s="557"/>
      <c r="I128" s="557"/>
      <c r="J128" s="557"/>
      <c r="K128" s="557"/>
      <c r="L128" s="557"/>
      <c r="M128" s="557"/>
      <c r="N128" s="557"/>
      <c r="O128" s="557"/>
      <c r="P128" s="557"/>
      <c r="Q128" s="557"/>
    </row>
    <row r="129" spans="6:17" x14ac:dyDescent="0.2">
      <c r="F129" s="557"/>
      <c r="G129" s="557"/>
      <c r="H129" s="557"/>
      <c r="I129" s="557"/>
      <c r="J129" s="557"/>
      <c r="K129" s="557"/>
      <c r="L129" s="557"/>
      <c r="M129" s="557"/>
      <c r="N129" s="557"/>
      <c r="O129" s="557"/>
      <c r="P129" s="557"/>
      <c r="Q129" s="557"/>
    </row>
    <row r="130" spans="6:17" x14ac:dyDescent="0.2">
      <c r="F130" s="557"/>
      <c r="G130" s="557"/>
      <c r="H130" s="557"/>
      <c r="I130" s="557"/>
      <c r="J130" s="557"/>
      <c r="K130" s="557"/>
      <c r="L130" s="557"/>
      <c r="M130" s="557"/>
      <c r="N130" s="557"/>
      <c r="O130" s="557"/>
      <c r="P130" s="557"/>
      <c r="Q130" s="557"/>
    </row>
    <row r="131" spans="6:17" x14ac:dyDescent="0.2">
      <c r="F131" s="557"/>
      <c r="G131" s="557"/>
      <c r="H131" s="557"/>
      <c r="I131" s="557"/>
      <c r="J131" s="557"/>
      <c r="K131" s="557"/>
      <c r="L131" s="557"/>
      <c r="M131" s="557"/>
      <c r="N131" s="557"/>
      <c r="O131" s="557"/>
      <c r="P131" s="557"/>
      <c r="Q131" s="557"/>
    </row>
    <row r="132" spans="6:17" x14ac:dyDescent="0.2">
      <c r="F132" s="557"/>
      <c r="G132" s="557"/>
      <c r="H132" s="557"/>
      <c r="I132" s="557"/>
      <c r="J132" s="557"/>
      <c r="K132" s="557"/>
      <c r="L132" s="557"/>
      <c r="M132" s="557"/>
      <c r="N132" s="557"/>
      <c r="O132" s="557"/>
      <c r="P132" s="557"/>
      <c r="Q132" s="557"/>
    </row>
    <row r="133" spans="6:17" x14ac:dyDescent="0.2">
      <c r="F133" s="557"/>
      <c r="G133" s="557"/>
      <c r="H133" s="557"/>
      <c r="I133" s="557"/>
      <c r="J133" s="557"/>
      <c r="K133" s="557"/>
      <c r="L133" s="557"/>
      <c r="M133" s="557"/>
      <c r="N133" s="557"/>
      <c r="O133" s="557"/>
      <c r="P133" s="557"/>
      <c r="Q133" s="557"/>
    </row>
    <row r="134" spans="6:17" x14ac:dyDescent="0.2">
      <c r="F134" s="557"/>
      <c r="G134" s="557"/>
      <c r="H134" s="557"/>
      <c r="I134" s="557"/>
      <c r="J134" s="557"/>
      <c r="K134" s="557"/>
      <c r="L134" s="557"/>
      <c r="M134" s="557"/>
      <c r="N134" s="557"/>
      <c r="O134" s="557"/>
      <c r="P134" s="557"/>
      <c r="Q134" s="557"/>
    </row>
    <row r="135" spans="6:17" x14ac:dyDescent="0.2">
      <c r="F135" s="557"/>
      <c r="G135" s="557"/>
      <c r="H135" s="557"/>
      <c r="I135" s="557"/>
      <c r="J135" s="557"/>
      <c r="K135" s="557"/>
      <c r="L135" s="557"/>
      <c r="M135" s="557"/>
      <c r="N135" s="557"/>
      <c r="O135" s="557"/>
      <c r="P135" s="557"/>
      <c r="Q135" s="557"/>
    </row>
    <row r="136" spans="6:17" x14ac:dyDescent="0.2">
      <c r="F136" s="557"/>
      <c r="G136" s="557"/>
      <c r="H136" s="557"/>
      <c r="I136" s="557"/>
      <c r="J136" s="557"/>
      <c r="K136" s="557"/>
      <c r="L136" s="557"/>
      <c r="M136" s="557"/>
      <c r="N136" s="557"/>
      <c r="O136" s="557"/>
      <c r="P136" s="557"/>
      <c r="Q136" s="557"/>
    </row>
    <row r="137" spans="6:17" x14ac:dyDescent="0.2">
      <c r="F137" s="557"/>
      <c r="G137" s="557"/>
      <c r="H137" s="557"/>
      <c r="I137" s="557"/>
      <c r="J137" s="557"/>
      <c r="K137" s="557"/>
      <c r="L137" s="557"/>
      <c r="M137" s="557"/>
      <c r="N137" s="557"/>
      <c r="O137" s="557"/>
      <c r="P137" s="557"/>
      <c r="Q137" s="557"/>
    </row>
    <row r="138" spans="6:17" x14ac:dyDescent="0.2">
      <c r="F138" s="557"/>
      <c r="G138" s="557"/>
      <c r="H138" s="557"/>
      <c r="I138" s="557"/>
      <c r="J138" s="557"/>
      <c r="K138" s="557"/>
      <c r="L138" s="557"/>
      <c r="M138" s="557"/>
      <c r="N138" s="557"/>
      <c r="O138" s="557"/>
      <c r="P138" s="557"/>
      <c r="Q138" s="557"/>
    </row>
    <row r="139" spans="6:17" x14ac:dyDescent="0.2">
      <c r="F139" s="557"/>
      <c r="G139" s="557"/>
      <c r="H139" s="557"/>
      <c r="I139" s="557"/>
      <c r="J139" s="557"/>
      <c r="K139" s="557"/>
      <c r="L139" s="557"/>
      <c r="M139" s="557"/>
      <c r="N139" s="557"/>
      <c r="O139" s="557"/>
      <c r="P139" s="557"/>
      <c r="Q139" s="557"/>
    </row>
  </sheetData>
  <mergeCells count="10">
    <mergeCell ref="L3:N3"/>
    <mergeCell ref="O3:Q3"/>
    <mergeCell ref="A5:B5"/>
    <mergeCell ref="A44:B44"/>
    <mergeCell ref="A2:B2"/>
    <mergeCell ref="A3:A4"/>
    <mergeCell ref="B3:B4"/>
    <mergeCell ref="C3:E3"/>
    <mergeCell ref="F3:H3"/>
    <mergeCell ref="I3:K3"/>
  </mergeCells>
  <pageMargins left="0.23622047244094491" right="0.27559055118110237" top="0.94488188976377963" bottom="0.31496062992125984" header="0.27559055118110237" footer="0.15748031496062992"/>
  <pageSetup paperSize="9" scale="47" orientation="landscape" r:id="rId1"/>
  <headerFooter alignWithMargins="0">
    <oddHeader>&amp;C&amp;"Arial CE,Félkövér"&amp;12 11/2019. (V.17.) számú költségvetési rendelethez
Zalakaros Város Önkormányzat mérlege             
2018.év december 31-én
&amp;R&amp;A
&amp;P.oldal</oddHead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107"/>
  <sheetViews>
    <sheetView topLeftCell="A7" zoomScaleNormal="100" zoomScaleSheetLayoutView="75" workbookViewId="0">
      <selection activeCell="F11" sqref="F11"/>
    </sheetView>
  </sheetViews>
  <sheetFormatPr defaultRowHeight="12.75" x14ac:dyDescent="0.2"/>
  <cols>
    <col min="1" max="2" width="6.140625" style="529" customWidth="1"/>
    <col min="3" max="3" width="57.42578125" style="529" customWidth="1"/>
    <col min="4" max="4" width="13.7109375" style="529" customWidth="1"/>
    <col min="5" max="5" width="10.5703125" style="529" customWidth="1"/>
    <col min="6" max="6" width="13.42578125" style="529" customWidth="1"/>
    <col min="7" max="7" width="12.42578125" style="529" customWidth="1"/>
    <col min="8" max="8" width="8.5703125" style="529" customWidth="1"/>
    <col min="9" max="9" width="13.7109375" style="529" customWidth="1"/>
    <col min="10" max="10" width="12.140625" style="529" bestFit="1" customWidth="1"/>
    <col min="11" max="11" width="9.140625" style="529" customWidth="1"/>
    <col min="12" max="12" width="12.7109375" style="529" customWidth="1"/>
    <col min="13" max="13" width="11.7109375" style="529" customWidth="1"/>
    <col min="14" max="14" width="10.28515625" style="529" customWidth="1"/>
    <col min="15" max="15" width="12.28515625" style="529" customWidth="1"/>
    <col min="16" max="16" width="14.28515625" style="529" customWidth="1"/>
    <col min="17" max="17" width="11.28515625" style="529" customWidth="1"/>
    <col min="18" max="18" width="13.5703125" style="529" customWidth="1"/>
    <col min="19" max="256" width="9.140625" style="529"/>
    <col min="257" max="258" width="6.140625" style="529" customWidth="1"/>
    <col min="259" max="259" width="57.42578125" style="529" customWidth="1"/>
    <col min="260" max="260" width="14.5703125" style="529" customWidth="1"/>
    <col min="261" max="261" width="9.140625" style="529" customWidth="1"/>
    <col min="262" max="262" width="13.140625" style="529" customWidth="1"/>
    <col min="263" max="263" width="12.42578125" style="529" customWidth="1"/>
    <col min="264" max="264" width="8.5703125" style="529" customWidth="1"/>
    <col min="265" max="265" width="12.85546875" style="529" customWidth="1"/>
    <col min="266" max="266" width="12.140625" style="529" bestFit="1" customWidth="1"/>
    <col min="267" max="267" width="9.140625" style="529" customWidth="1"/>
    <col min="268" max="268" width="11.5703125" style="529" customWidth="1"/>
    <col min="269" max="269" width="11.7109375" style="529" customWidth="1"/>
    <col min="270" max="270" width="10.28515625" style="529" customWidth="1"/>
    <col min="271" max="271" width="11.5703125" style="529" customWidth="1"/>
    <col min="272" max="272" width="14.28515625" style="529" customWidth="1"/>
    <col min="273" max="273" width="10.5703125" style="529" customWidth="1"/>
    <col min="274" max="274" width="13.5703125" style="529" customWidth="1"/>
    <col min="275" max="512" width="9.140625" style="529"/>
    <col min="513" max="514" width="6.140625" style="529" customWidth="1"/>
    <col min="515" max="515" width="57.42578125" style="529" customWidth="1"/>
    <col min="516" max="516" width="14.5703125" style="529" customWidth="1"/>
    <col min="517" max="517" width="9.140625" style="529" customWidth="1"/>
    <col min="518" max="518" width="13.140625" style="529" customWidth="1"/>
    <col min="519" max="519" width="12.42578125" style="529" customWidth="1"/>
    <col min="520" max="520" width="8.5703125" style="529" customWidth="1"/>
    <col min="521" max="521" width="12.85546875" style="529" customWidth="1"/>
    <col min="522" max="522" width="12.140625" style="529" bestFit="1" customWidth="1"/>
    <col min="523" max="523" width="9.140625" style="529" customWidth="1"/>
    <col min="524" max="524" width="11.5703125" style="529" customWidth="1"/>
    <col min="525" max="525" width="11.7109375" style="529" customWidth="1"/>
    <col min="526" max="526" width="10.28515625" style="529" customWidth="1"/>
    <col min="527" max="527" width="11.5703125" style="529" customWidth="1"/>
    <col min="528" max="528" width="14.28515625" style="529" customWidth="1"/>
    <col min="529" max="529" width="10.5703125" style="529" customWidth="1"/>
    <col min="530" max="530" width="13.5703125" style="529" customWidth="1"/>
    <col min="531" max="768" width="9.140625" style="529"/>
    <col min="769" max="770" width="6.140625" style="529" customWidth="1"/>
    <col min="771" max="771" width="57.42578125" style="529" customWidth="1"/>
    <col min="772" max="772" width="14.5703125" style="529" customWidth="1"/>
    <col min="773" max="773" width="9.140625" style="529" customWidth="1"/>
    <col min="774" max="774" width="13.140625" style="529" customWidth="1"/>
    <col min="775" max="775" width="12.42578125" style="529" customWidth="1"/>
    <col min="776" max="776" width="8.5703125" style="529" customWidth="1"/>
    <col min="777" max="777" width="12.85546875" style="529" customWidth="1"/>
    <col min="778" max="778" width="12.140625" style="529" bestFit="1" customWidth="1"/>
    <col min="779" max="779" width="9.140625" style="529" customWidth="1"/>
    <col min="780" max="780" width="11.5703125" style="529" customWidth="1"/>
    <col min="781" max="781" width="11.7109375" style="529" customWidth="1"/>
    <col min="782" max="782" width="10.28515625" style="529" customWidth="1"/>
    <col min="783" max="783" width="11.5703125" style="529" customWidth="1"/>
    <col min="784" max="784" width="14.28515625" style="529" customWidth="1"/>
    <col min="785" max="785" width="10.5703125" style="529" customWidth="1"/>
    <col min="786" max="786" width="13.5703125" style="529" customWidth="1"/>
    <col min="787" max="1024" width="9.140625" style="529"/>
    <col min="1025" max="1026" width="6.140625" style="529" customWidth="1"/>
    <col min="1027" max="1027" width="57.42578125" style="529" customWidth="1"/>
    <col min="1028" max="1028" width="14.5703125" style="529" customWidth="1"/>
    <col min="1029" max="1029" width="9.140625" style="529" customWidth="1"/>
    <col min="1030" max="1030" width="13.140625" style="529" customWidth="1"/>
    <col min="1031" max="1031" width="12.42578125" style="529" customWidth="1"/>
    <col min="1032" max="1032" width="8.5703125" style="529" customWidth="1"/>
    <col min="1033" max="1033" width="12.85546875" style="529" customWidth="1"/>
    <col min="1034" max="1034" width="12.140625" style="529" bestFit="1" customWidth="1"/>
    <col min="1035" max="1035" width="9.140625" style="529" customWidth="1"/>
    <col min="1036" max="1036" width="11.5703125" style="529" customWidth="1"/>
    <col min="1037" max="1037" width="11.7109375" style="529" customWidth="1"/>
    <col min="1038" max="1038" width="10.28515625" style="529" customWidth="1"/>
    <col min="1039" max="1039" width="11.5703125" style="529" customWidth="1"/>
    <col min="1040" max="1040" width="14.28515625" style="529" customWidth="1"/>
    <col min="1041" max="1041" width="10.5703125" style="529" customWidth="1"/>
    <col min="1042" max="1042" width="13.5703125" style="529" customWidth="1"/>
    <col min="1043" max="1280" width="9.140625" style="529"/>
    <col min="1281" max="1282" width="6.140625" style="529" customWidth="1"/>
    <col min="1283" max="1283" width="57.42578125" style="529" customWidth="1"/>
    <col min="1284" max="1284" width="14.5703125" style="529" customWidth="1"/>
    <col min="1285" max="1285" width="9.140625" style="529" customWidth="1"/>
    <col min="1286" max="1286" width="13.140625" style="529" customWidth="1"/>
    <col min="1287" max="1287" width="12.42578125" style="529" customWidth="1"/>
    <col min="1288" max="1288" width="8.5703125" style="529" customWidth="1"/>
    <col min="1289" max="1289" width="12.85546875" style="529" customWidth="1"/>
    <col min="1290" max="1290" width="12.140625" style="529" bestFit="1" customWidth="1"/>
    <col min="1291" max="1291" width="9.140625" style="529" customWidth="1"/>
    <col min="1292" max="1292" width="11.5703125" style="529" customWidth="1"/>
    <col min="1293" max="1293" width="11.7109375" style="529" customWidth="1"/>
    <col min="1294" max="1294" width="10.28515625" style="529" customWidth="1"/>
    <col min="1295" max="1295" width="11.5703125" style="529" customWidth="1"/>
    <col min="1296" max="1296" width="14.28515625" style="529" customWidth="1"/>
    <col min="1297" max="1297" width="10.5703125" style="529" customWidth="1"/>
    <col min="1298" max="1298" width="13.5703125" style="529" customWidth="1"/>
    <col min="1299" max="1536" width="9.140625" style="529"/>
    <col min="1537" max="1538" width="6.140625" style="529" customWidth="1"/>
    <col min="1539" max="1539" width="57.42578125" style="529" customWidth="1"/>
    <col min="1540" max="1540" width="14.5703125" style="529" customWidth="1"/>
    <col min="1541" max="1541" width="9.140625" style="529" customWidth="1"/>
    <col min="1542" max="1542" width="13.140625" style="529" customWidth="1"/>
    <col min="1543" max="1543" width="12.42578125" style="529" customWidth="1"/>
    <col min="1544" max="1544" width="8.5703125" style="529" customWidth="1"/>
    <col min="1545" max="1545" width="12.85546875" style="529" customWidth="1"/>
    <col min="1546" max="1546" width="12.140625" style="529" bestFit="1" customWidth="1"/>
    <col min="1547" max="1547" width="9.140625" style="529" customWidth="1"/>
    <col min="1548" max="1548" width="11.5703125" style="529" customWidth="1"/>
    <col min="1549" max="1549" width="11.7109375" style="529" customWidth="1"/>
    <col min="1550" max="1550" width="10.28515625" style="529" customWidth="1"/>
    <col min="1551" max="1551" width="11.5703125" style="529" customWidth="1"/>
    <col min="1552" max="1552" width="14.28515625" style="529" customWidth="1"/>
    <col min="1553" max="1553" width="10.5703125" style="529" customWidth="1"/>
    <col min="1554" max="1554" width="13.5703125" style="529" customWidth="1"/>
    <col min="1555" max="1792" width="9.140625" style="529"/>
    <col min="1793" max="1794" width="6.140625" style="529" customWidth="1"/>
    <col min="1795" max="1795" width="57.42578125" style="529" customWidth="1"/>
    <col min="1796" max="1796" width="14.5703125" style="529" customWidth="1"/>
    <col min="1797" max="1797" width="9.140625" style="529" customWidth="1"/>
    <col min="1798" max="1798" width="13.140625" style="529" customWidth="1"/>
    <col min="1799" max="1799" width="12.42578125" style="529" customWidth="1"/>
    <col min="1800" max="1800" width="8.5703125" style="529" customWidth="1"/>
    <col min="1801" max="1801" width="12.85546875" style="529" customWidth="1"/>
    <col min="1802" max="1802" width="12.140625" style="529" bestFit="1" customWidth="1"/>
    <col min="1803" max="1803" width="9.140625" style="529" customWidth="1"/>
    <col min="1804" max="1804" width="11.5703125" style="529" customWidth="1"/>
    <col min="1805" max="1805" width="11.7109375" style="529" customWidth="1"/>
    <col min="1806" max="1806" width="10.28515625" style="529" customWidth="1"/>
    <col min="1807" max="1807" width="11.5703125" style="529" customWidth="1"/>
    <col min="1808" max="1808" width="14.28515625" style="529" customWidth="1"/>
    <col min="1809" max="1809" width="10.5703125" style="529" customWidth="1"/>
    <col min="1810" max="1810" width="13.5703125" style="529" customWidth="1"/>
    <col min="1811" max="2048" width="9.140625" style="529"/>
    <col min="2049" max="2050" width="6.140625" style="529" customWidth="1"/>
    <col min="2051" max="2051" width="57.42578125" style="529" customWidth="1"/>
    <col min="2052" max="2052" width="14.5703125" style="529" customWidth="1"/>
    <col min="2053" max="2053" width="9.140625" style="529" customWidth="1"/>
    <col min="2054" max="2054" width="13.140625" style="529" customWidth="1"/>
    <col min="2055" max="2055" width="12.42578125" style="529" customWidth="1"/>
    <col min="2056" max="2056" width="8.5703125" style="529" customWidth="1"/>
    <col min="2057" max="2057" width="12.85546875" style="529" customWidth="1"/>
    <col min="2058" max="2058" width="12.140625" style="529" bestFit="1" customWidth="1"/>
    <col min="2059" max="2059" width="9.140625" style="529" customWidth="1"/>
    <col min="2060" max="2060" width="11.5703125" style="529" customWidth="1"/>
    <col min="2061" max="2061" width="11.7109375" style="529" customWidth="1"/>
    <col min="2062" max="2062" width="10.28515625" style="529" customWidth="1"/>
    <col min="2063" max="2063" width="11.5703125" style="529" customWidth="1"/>
    <col min="2064" max="2064" width="14.28515625" style="529" customWidth="1"/>
    <col min="2065" max="2065" width="10.5703125" style="529" customWidth="1"/>
    <col min="2066" max="2066" width="13.5703125" style="529" customWidth="1"/>
    <col min="2067" max="2304" width="9.140625" style="529"/>
    <col min="2305" max="2306" width="6.140625" style="529" customWidth="1"/>
    <col min="2307" max="2307" width="57.42578125" style="529" customWidth="1"/>
    <col min="2308" max="2308" width="14.5703125" style="529" customWidth="1"/>
    <col min="2309" max="2309" width="9.140625" style="529" customWidth="1"/>
    <col min="2310" max="2310" width="13.140625" style="529" customWidth="1"/>
    <col min="2311" max="2311" width="12.42578125" style="529" customWidth="1"/>
    <col min="2312" max="2312" width="8.5703125" style="529" customWidth="1"/>
    <col min="2313" max="2313" width="12.85546875" style="529" customWidth="1"/>
    <col min="2314" max="2314" width="12.140625" style="529" bestFit="1" customWidth="1"/>
    <col min="2315" max="2315" width="9.140625" style="529" customWidth="1"/>
    <col min="2316" max="2316" width="11.5703125" style="529" customWidth="1"/>
    <col min="2317" max="2317" width="11.7109375" style="529" customWidth="1"/>
    <col min="2318" max="2318" width="10.28515625" style="529" customWidth="1"/>
    <col min="2319" max="2319" width="11.5703125" style="529" customWidth="1"/>
    <col min="2320" max="2320" width="14.28515625" style="529" customWidth="1"/>
    <col min="2321" max="2321" width="10.5703125" style="529" customWidth="1"/>
    <col min="2322" max="2322" width="13.5703125" style="529" customWidth="1"/>
    <col min="2323" max="2560" width="9.140625" style="529"/>
    <col min="2561" max="2562" width="6.140625" style="529" customWidth="1"/>
    <col min="2563" max="2563" width="57.42578125" style="529" customWidth="1"/>
    <col min="2564" max="2564" width="14.5703125" style="529" customWidth="1"/>
    <col min="2565" max="2565" width="9.140625" style="529" customWidth="1"/>
    <col min="2566" max="2566" width="13.140625" style="529" customWidth="1"/>
    <col min="2567" max="2567" width="12.42578125" style="529" customWidth="1"/>
    <col min="2568" max="2568" width="8.5703125" style="529" customWidth="1"/>
    <col min="2569" max="2569" width="12.85546875" style="529" customWidth="1"/>
    <col min="2570" max="2570" width="12.140625" style="529" bestFit="1" customWidth="1"/>
    <col min="2571" max="2571" width="9.140625" style="529" customWidth="1"/>
    <col min="2572" max="2572" width="11.5703125" style="529" customWidth="1"/>
    <col min="2573" max="2573" width="11.7109375" style="529" customWidth="1"/>
    <col min="2574" max="2574" width="10.28515625" style="529" customWidth="1"/>
    <col min="2575" max="2575" width="11.5703125" style="529" customWidth="1"/>
    <col min="2576" max="2576" width="14.28515625" style="529" customWidth="1"/>
    <col min="2577" max="2577" width="10.5703125" style="529" customWidth="1"/>
    <col min="2578" max="2578" width="13.5703125" style="529" customWidth="1"/>
    <col min="2579" max="2816" width="9.140625" style="529"/>
    <col min="2817" max="2818" width="6.140625" style="529" customWidth="1"/>
    <col min="2819" max="2819" width="57.42578125" style="529" customWidth="1"/>
    <col min="2820" max="2820" width="14.5703125" style="529" customWidth="1"/>
    <col min="2821" max="2821" width="9.140625" style="529" customWidth="1"/>
    <col min="2822" max="2822" width="13.140625" style="529" customWidth="1"/>
    <col min="2823" max="2823" width="12.42578125" style="529" customWidth="1"/>
    <col min="2824" max="2824" width="8.5703125" style="529" customWidth="1"/>
    <col min="2825" max="2825" width="12.85546875" style="529" customWidth="1"/>
    <col min="2826" max="2826" width="12.140625" style="529" bestFit="1" customWidth="1"/>
    <col min="2827" max="2827" width="9.140625" style="529" customWidth="1"/>
    <col min="2828" max="2828" width="11.5703125" style="529" customWidth="1"/>
    <col min="2829" max="2829" width="11.7109375" style="529" customWidth="1"/>
    <col min="2830" max="2830" width="10.28515625" style="529" customWidth="1"/>
    <col min="2831" max="2831" width="11.5703125" style="529" customWidth="1"/>
    <col min="2832" max="2832" width="14.28515625" style="529" customWidth="1"/>
    <col min="2833" max="2833" width="10.5703125" style="529" customWidth="1"/>
    <col min="2834" max="2834" width="13.5703125" style="529" customWidth="1"/>
    <col min="2835" max="3072" width="9.140625" style="529"/>
    <col min="3073" max="3074" width="6.140625" style="529" customWidth="1"/>
    <col min="3075" max="3075" width="57.42578125" style="529" customWidth="1"/>
    <col min="3076" max="3076" width="14.5703125" style="529" customWidth="1"/>
    <col min="3077" max="3077" width="9.140625" style="529" customWidth="1"/>
    <col min="3078" max="3078" width="13.140625" style="529" customWidth="1"/>
    <col min="3079" max="3079" width="12.42578125" style="529" customWidth="1"/>
    <col min="3080" max="3080" width="8.5703125" style="529" customWidth="1"/>
    <col min="3081" max="3081" width="12.85546875" style="529" customWidth="1"/>
    <col min="3082" max="3082" width="12.140625" style="529" bestFit="1" customWidth="1"/>
    <col min="3083" max="3083" width="9.140625" style="529" customWidth="1"/>
    <col min="3084" max="3084" width="11.5703125" style="529" customWidth="1"/>
    <col min="3085" max="3085" width="11.7109375" style="529" customWidth="1"/>
    <col min="3086" max="3086" width="10.28515625" style="529" customWidth="1"/>
    <col min="3087" max="3087" width="11.5703125" style="529" customWidth="1"/>
    <col min="3088" max="3088" width="14.28515625" style="529" customWidth="1"/>
    <col min="3089" max="3089" width="10.5703125" style="529" customWidth="1"/>
    <col min="3090" max="3090" width="13.5703125" style="529" customWidth="1"/>
    <col min="3091" max="3328" width="9.140625" style="529"/>
    <col min="3329" max="3330" width="6.140625" style="529" customWidth="1"/>
    <col min="3331" max="3331" width="57.42578125" style="529" customWidth="1"/>
    <col min="3332" max="3332" width="14.5703125" style="529" customWidth="1"/>
    <col min="3333" max="3333" width="9.140625" style="529" customWidth="1"/>
    <col min="3334" max="3334" width="13.140625" style="529" customWidth="1"/>
    <col min="3335" max="3335" width="12.42578125" style="529" customWidth="1"/>
    <col min="3336" max="3336" width="8.5703125" style="529" customWidth="1"/>
    <col min="3337" max="3337" width="12.85546875" style="529" customWidth="1"/>
    <col min="3338" max="3338" width="12.140625" style="529" bestFit="1" customWidth="1"/>
    <col min="3339" max="3339" width="9.140625" style="529" customWidth="1"/>
    <col min="3340" max="3340" width="11.5703125" style="529" customWidth="1"/>
    <col min="3341" max="3341" width="11.7109375" style="529" customWidth="1"/>
    <col min="3342" max="3342" width="10.28515625" style="529" customWidth="1"/>
    <col min="3343" max="3343" width="11.5703125" style="529" customWidth="1"/>
    <col min="3344" max="3344" width="14.28515625" style="529" customWidth="1"/>
    <col min="3345" max="3345" width="10.5703125" style="529" customWidth="1"/>
    <col min="3346" max="3346" width="13.5703125" style="529" customWidth="1"/>
    <col min="3347" max="3584" width="9.140625" style="529"/>
    <col min="3585" max="3586" width="6.140625" style="529" customWidth="1"/>
    <col min="3587" max="3587" width="57.42578125" style="529" customWidth="1"/>
    <col min="3588" max="3588" width="14.5703125" style="529" customWidth="1"/>
    <col min="3589" max="3589" width="9.140625" style="529" customWidth="1"/>
    <col min="3590" max="3590" width="13.140625" style="529" customWidth="1"/>
    <col min="3591" max="3591" width="12.42578125" style="529" customWidth="1"/>
    <col min="3592" max="3592" width="8.5703125" style="529" customWidth="1"/>
    <col min="3593" max="3593" width="12.85546875" style="529" customWidth="1"/>
    <col min="3594" max="3594" width="12.140625" style="529" bestFit="1" customWidth="1"/>
    <col min="3595" max="3595" width="9.140625" style="529" customWidth="1"/>
    <col min="3596" max="3596" width="11.5703125" style="529" customWidth="1"/>
    <col min="3597" max="3597" width="11.7109375" style="529" customWidth="1"/>
    <col min="3598" max="3598" width="10.28515625" style="529" customWidth="1"/>
    <col min="3599" max="3599" width="11.5703125" style="529" customWidth="1"/>
    <col min="3600" max="3600" width="14.28515625" style="529" customWidth="1"/>
    <col min="3601" max="3601" width="10.5703125" style="529" customWidth="1"/>
    <col min="3602" max="3602" width="13.5703125" style="529" customWidth="1"/>
    <col min="3603" max="3840" width="9.140625" style="529"/>
    <col min="3841" max="3842" width="6.140625" style="529" customWidth="1"/>
    <col min="3843" max="3843" width="57.42578125" style="529" customWidth="1"/>
    <col min="3844" max="3844" width="14.5703125" style="529" customWidth="1"/>
    <col min="3845" max="3845" width="9.140625" style="529" customWidth="1"/>
    <col min="3846" max="3846" width="13.140625" style="529" customWidth="1"/>
    <col min="3847" max="3847" width="12.42578125" style="529" customWidth="1"/>
    <col min="3848" max="3848" width="8.5703125" style="529" customWidth="1"/>
    <col min="3849" max="3849" width="12.85546875" style="529" customWidth="1"/>
    <col min="3850" max="3850" width="12.140625" style="529" bestFit="1" customWidth="1"/>
    <col min="3851" max="3851" width="9.140625" style="529" customWidth="1"/>
    <col min="3852" max="3852" width="11.5703125" style="529" customWidth="1"/>
    <col min="3853" max="3853" width="11.7109375" style="529" customWidth="1"/>
    <col min="3854" max="3854" width="10.28515625" style="529" customWidth="1"/>
    <col min="3855" max="3855" width="11.5703125" style="529" customWidth="1"/>
    <col min="3856" max="3856" width="14.28515625" style="529" customWidth="1"/>
    <col min="3857" max="3857" width="10.5703125" style="529" customWidth="1"/>
    <col min="3858" max="3858" width="13.5703125" style="529" customWidth="1"/>
    <col min="3859" max="4096" width="9.140625" style="529"/>
    <col min="4097" max="4098" width="6.140625" style="529" customWidth="1"/>
    <col min="4099" max="4099" width="57.42578125" style="529" customWidth="1"/>
    <col min="4100" max="4100" width="14.5703125" style="529" customWidth="1"/>
    <col min="4101" max="4101" width="9.140625" style="529" customWidth="1"/>
    <col min="4102" max="4102" width="13.140625" style="529" customWidth="1"/>
    <col min="4103" max="4103" width="12.42578125" style="529" customWidth="1"/>
    <col min="4104" max="4104" width="8.5703125" style="529" customWidth="1"/>
    <col min="4105" max="4105" width="12.85546875" style="529" customWidth="1"/>
    <col min="4106" max="4106" width="12.140625" style="529" bestFit="1" customWidth="1"/>
    <col min="4107" max="4107" width="9.140625" style="529" customWidth="1"/>
    <col min="4108" max="4108" width="11.5703125" style="529" customWidth="1"/>
    <col min="4109" max="4109" width="11.7109375" style="529" customWidth="1"/>
    <col min="4110" max="4110" width="10.28515625" style="529" customWidth="1"/>
    <col min="4111" max="4111" width="11.5703125" style="529" customWidth="1"/>
    <col min="4112" max="4112" width="14.28515625" style="529" customWidth="1"/>
    <col min="4113" max="4113" width="10.5703125" style="529" customWidth="1"/>
    <col min="4114" max="4114" width="13.5703125" style="529" customWidth="1"/>
    <col min="4115" max="4352" width="9.140625" style="529"/>
    <col min="4353" max="4354" width="6.140625" style="529" customWidth="1"/>
    <col min="4355" max="4355" width="57.42578125" style="529" customWidth="1"/>
    <col min="4356" max="4356" width="14.5703125" style="529" customWidth="1"/>
    <col min="4357" max="4357" width="9.140625" style="529" customWidth="1"/>
    <col min="4358" max="4358" width="13.140625" style="529" customWidth="1"/>
    <col min="4359" max="4359" width="12.42578125" style="529" customWidth="1"/>
    <col min="4360" max="4360" width="8.5703125" style="529" customWidth="1"/>
    <col min="4361" max="4361" width="12.85546875" style="529" customWidth="1"/>
    <col min="4362" max="4362" width="12.140625" style="529" bestFit="1" customWidth="1"/>
    <col min="4363" max="4363" width="9.140625" style="529" customWidth="1"/>
    <col min="4364" max="4364" width="11.5703125" style="529" customWidth="1"/>
    <col min="4365" max="4365" width="11.7109375" style="529" customWidth="1"/>
    <col min="4366" max="4366" width="10.28515625" style="529" customWidth="1"/>
    <col min="4367" max="4367" width="11.5703125" style="529" customWidth="1"/>
    <col min="4368" max="4368" width="14.28515625" style="529" customWidth="1"/>
    <col min="4369" max="4369" width="10.5703125" style="529" customWidth="1"/>
    <col min="4370" max="4370" width="13.5703125" style="529" customWidth="1"/>
    <col min="4371" max="4608" width="9.140625" style="529"/>
    <col min="4609" max="4610" width="6.140625" style="529" customWidth="1"/>
    <col min="4611" max="4611" width="57.42578125" style="529" customWidth="1"/>
    <col min="4612" max="4612" width="14.5703125" style="529" customWidth="1"/>
    <col min="4613" max="4613" width="9.140625" style="529" customWidth="1"/>
    <col min="4614" max="4614" width="13.140625" style="529" customWidth="1"/>
    <col min="4615" max="4615" width="12.42578125" style="529" customWidth="1"/>
    <col min="4616" max="4616" width="8.5703125" style="529" customWidth="1"/>
    <col min="4617" max="4617" width="12.85546875" style="529" customWidth="1"/>
    <col min="4618" max="4618" width="12.140625" style="529" bestFit="1" customWidth="1"/>
    <col min="4619" max="4619" width="9.140625" style="529" customWidth="1"/>
    <col min="4620" max="4620" width="11.5703125" style="529" customWidth="1"/>
    <col min="4621" max="4621" width="11.7109375" style="529" customWidth="1"/>
    <col min="4622" max="4622" width="10.28515625" style="529" customWidth="1"/>
    <col min="4623" max="4623" width="11.5703125" style="529" customWidth="1"/>
    <col min="4624" max="4624" width="14.28515625" style="529" customWidth="1"/>
    <col min="4625" max="4625" width="10.5703125" style="529" customWidth="1"/>
    <col min="4626" max="4626" width="13.5703125" style="529" customWidth="1"/>
    <col min="4627" max="4864" width="9.140625" style="529"/>
    <col min="4865" max="4866" width="6.140625" style="529" customWidth="1"/>
    <col min="4867" max="4867" width="57.42578125" style="529" customWidth="1"/>
    <col min="4868" max="4868" width="14.5703125" style="529" customWidth="1"/>
    <col min="4869" max="4869" width="9.140625" style="529" customWidth="1"/>
    <col min="4870" max="4870" width="13.140625" style="529" customWidth="1"/>
    <col min="4871" max="4871" width="12.42578125" style="529" customWidth="1"/>
    <col min="4872" max="4872" width="8.5703125" style="529" customWidth="1"/>
    <col min="4873" max="4873" width="12.85546875" style="529" customWidth="1"/>
    <col min="4874" max="4874" width="12.140625" style="529" bestFit="1" customWidth="1"/>
    <col min="4875" max="4875" width="9.140625" style="529" customWidth="1"/>
    <col min="4876" max="4876" width="11.5703125" style="529" customWidth="1"/>
    <col min="4877" max="4877" width="11.7109375" style="529" customWidth="1"/>
    <col min="4878" max="4878" width="10.28515625" style="529" customWidth="1"/>
    <col min="4879" max="4879" width="11.5703125" style="529" customWidth="1"/>
    <col min="4880" max="4880" width="14.28515625" style="529" customWidth="1"/>
    <col min="4881" max="4881" width="10.5703125" style="529" customWidth="1"/>
    <col min="4882" max="4882" width="13.5703125" style="529" customWidth="1"/>
    <col min="4883" max="5120" width="9.140625" style="529"/>
    <col min="5121" max="5122" width="6.140625" style="529" customWidth="1"/>
    <col min="5123" max="5123" width="57.42578125" style="529" customWidth="1"/>
    <col min="5124" max="5124" width="14.5703125" style="529" customWidth="1"/>
    <col min="5125" max="5125" width="9.140625" style="529" customWidth="1"/>
    <col min="5126" max="5126" width="13.140625" style="529" customWidth="1"/>
    <col min="5127" max="5127" width="12.42578125" style="529" customWidth="1"/>
    <col min="5128" max="5128" width="8.5703125" style="529" customWidth="1"/>
    <col min="5129" max="5129" width="12.85546875" style="529" customWidth="1"/>
    <col min="5130" max="5130" width="12.140625" style="529" bestFit="1" customWidth="1"/>
    <col min="5131" max="5131" width="9.140625" style="529" customWidth="1"/>
    <col min="5132" max="5132" width="11.5703125" style="529" customWidth="1"/>
    <col min="5133" max="5133" width="11.7109375" style="529" customWidth="1"/>
    <col min="5134" max="5134" width="10.28515625" style="529" customWidth="1"/>
    <col min="5135" max="5135" width="11.5703125" style="529" customWidth="1"/>
    <col min="5136" max="5136" width="14.28515625" style="529" customWidth="1"/>
    <col min="5137" max="5137" width="10.5703125" style="529" customWidth="1"/>
    <col min="5138" max="5138" width="13.5703125" style="529" customWidth="1"/>
    <col min="5139" max="5376" width="9.140625" style="529"/>
    <col min="5377" max="5378" width="6.140625" style="529" customWidth="1"/>
    <col min="5379" max="5379" width="57.42578125" style="529" customWidth="1"/>
    <col min="5380" max="5380" width="14.5703125" style="529" customWidth="1"/>
    <col min="5381" max="5381" width="9.140625" style="529" customWidth="1"/>
    <col min="5382" max="5382" width="13.140625" style="529" customWidth="1"/>
    <col min="5383" max="5383" width="12.42578125" style="529" customWidth="1"/>
    <col min="5384" max="5384" width="8.5703125" style="529" customWidth="1"/>
    <col min="5385" max="5385" width="12.85546875" style="529" customWidth="1"/>
    <col min="5386" max="5386" width="12.140625" style="529" bestFit="1" customWidth="1"/>
    <col min="5387" max="5387" width="9.140625" style="529" customWidth="1"/>
    <col min="5388" max="5388" width="11.5703125" style="529" customWidth="1"/>
    <col min="5389" max="5389" width="11.7109375" style="529" customWidth="1"/>
    <col min="5390" max="5390" width="10.28515625" style="529" customWidth="1"/>
    <col min="5391" max="5391" width="11.5703125" style="529" customWidth="1"/>
    <col min="5392" max="5392" width="14.28515625" style="529" customWidth="1"/>
    <col min="5393" max="5393" width="10.5703125" style="529" customWidth="1"/>
    <col min="5394" max="5394" width="13.5703125" style="529" customWidth="1"/>
    <col min="5395" max="5632" width="9.140625" style="529"/>
    <col min="5633" max="5634" width="6.140625" style="529" customWidth="1"/>
    <col min="5635" max="5635" width="57.42578125" style="529" customWidth="1"/>
    <col min="5636" max="5636" width="14.5703125" style="529" customWidth="1"/>
    <col min="5637" max="5637" width="9.140625" style="529" customWidth="1"/>
    <col min="5638" max="5638" width="13.140625" style="529" customWidth="1"/>
    <col min="5639" max="5639" width="12.42578125" style="529" customWidth="1"/>
    <col min="5640" max="5640" width="8.5703125" style="529" customWidth="1"/>
    <col min="5641" max="5641" width="12.85546875" style="529" customWidth="1"/>
    <col min="5642" max="5642" width="12.140625" style="529" bestFit="1" customWidth="1"/>
    <col min="5643" max="5643" width="9.140625" style="529" customWidth="1"/>
    <col min="5644" max="5644" width="11.5703125" style="529" customWidth="1"/>
    <col min="5645" max="5645" width="11.7109375" style="529" customWidth="1"/>
    <col min="5646" max="5646" width="10.28515625" style="529" customWidth="1"/>
    <col min="5647" max="5647" width="11.5703125" style="529" customWidth="1"/>
    <col min="5648" max="5648" width="14.28515625" style="529" customWidth="1"/>
    <col min="5649" max="5649" width="10.5703125" style="529" customWidth="1"/>
    <col min="5650" max="5650" width="13.5703125" style="529" customWidth="1"/>
    <col min="5651" max="5888" width="9.140625" style="529"/>
    <col min="5889" max="5890" width="6.140625" style="529" customWidth="1"/>
    <col min="5891" max="5891" width="57.42578125" style="529" customWidth="1"/>
    <col min="5892" max="5892" width="14.5703125" style="529" customWidth="1"/>
    <col min="5893" max="5893" width="9.140625" style="529" customWidth="1"/>
    <col min="5894" max="5894" width="13.140625" style="529" customWidth="1"/>
    <col min="5895" max="5895" width="12.42578125" style="529" customWidth="1"/>
    <col min="5896" max="5896" width="8.5703125" style="529" customWidth="1"/>
    <col min="5897" max="5897" width="12.85546875" style="529" customWidth="1"/>
    <col min="5898" max="5898" width="12.140625" style="529" bestFit="1" customWidth="1"/>
    <col min="5899" max="5899" width="9.140625" style="529" customWidth="1"/>
    <col min="5900" max="5900" width="11.5703125" style="529" customWidth="1"/>
    <col min="5901" max="5901" width="11.7109375" style="529" customWidth="1"/>
    <col min="5902" max="5902" width="10.28515625" style="529" customWidth="1"/>
    <col min="5903" max="5903" width="11.5703125" style="529" customWidth="1"/>
    <col min="5904" max="5904" width="14.28515625" style="529" customWidth="1"/>
    <col min="5905" max="5905" width="10.5703125" style="529" customWidth="1"/>
    <col min="5906" max="5906" width="13.5703125" style="529" customWidth="1"/>
    <col min="5907" max="6144" width="9.140625" style="529"/>
    <col min="6145" max="6146" width="6.140625" style="529" customWidth="1"/>
    <col min="6147" max="6147" width="57.42578125" style="529" customWidth="1"/>
    <col min="6148" max="6148" width="14.5703125" style="529" customWidth="1"/>
    <col min="6149" max="6149" width="9.140625" style="529" customWidth="1"/>
    <col min="6150" max="6150" width="13.140625" style="529" customWidth="1"/>
    <col min="6151" max="6151" width="12.42578125" style="529" customWidth="1"/>
    <col min="6152" max="6152" width="8.5703125" style="529" customWidth="1"/>
    <col min="6153" max="6153" width="12.85546875" style="529" customWidth="1"/>
    <col min="6154" max="6154" width="12.140625" style="529" bestFit="1" customWidth="1"/>
    <col min="6155" max="6155" width="9.140625" style="529" customWidth="1"/>
    <col min="6156" max="6156" width="11.5703125" style="529" customWidth="1"/>
    <col min="6157" max="6157" width="11.7109375" style="529" customWidth="1"/>
    <col min="6158" max="6158" width="10.28515625" style="529" customWidth="1"/>
    <col min="6159" max="6159" width="11.5703125" style="529" customWidth="1"/>
    <col min="6160" max="6160" width="14.28515625" style="529" customWidth="1"/>
    <col min="6161" max="6161" width="10.5703125" style="529" customWidth="1"/>
    <col min="6162" max="6162" width="13.5703125" style="529" customWidth="1"/>
    <col min="6163" max="6400" width="9.140625" style="529"/>
    <col min="6401" max="6402" width="6.140625" style="529" customWidth="1"/>
    <col min="6403" max="6403" width="57.42578125" style="529" customWidth="1"/>
    <col min="6404" max="6404" width="14.5703125" style="529" customWidth="1"/>
    <col min="6405" max="6405" width="9.140625" style="529" customWidth="1"/>
    <col min="6406" max="6406" width="13.140625" style="529" customWidth="1"/>
    <col min="6407" max="6407" width="12.42578125" style="529" customWidth="1"/>
    <col min="6408" max="6408" width="8.5703125" style="529" customWidth="1"/>
    <col min="6409" max="6409" width="12.85546875" style="529" customWidth="1"/>
    <col min="6410" max="6410" width="12.140625" style="529" bestFit="1" customWidth="1"/>
    <col min="6411" max="6411" width="9.140625" style="529" customWidth="1"/>
    <col min="6412" max="6412" width="11.5703125" style="529" customWidth="1"/>
    <col min="6413" max="6413" width="11.7109375" style="529" customWidth="1"/>
    <col min="6414" max="6414" width="10.28515625" style="529" customWidth="1"/>
    <col min="6415" max="6415" width="11.5703125" style="529" customWidth="1"/>
    <col min="6416" max="6416" width="14.28515625" style="529" customWidth="1"/>
    <col min="6417" max="6417" width="10.5703125" style="529" customWidth="1"/>
    <col min="6418" max="6418" width="13.5703125" style="529" customWidth="1"/>
    <col min="6419" max="6656" width="9.140625" style="529"/>
    <col min="6657" max="6658" width="6.140625" style="529" customWidth="1"/>
    <col min="6659" max="6659" width="57.42578125" style="529" customWidth="1"/>
    <col min="6660" max="6660" width="14.5703125" style="529" customWidth="1"/>
    <col min="6661" max="6661" width="9.140625" style="529" customWidth="1"/>
    <col min="6662" max="6662" width="13.140625" style="529" customWidth="1"/>
    <col min="6663" max="6663" width="12.42578125" style="529" customWidth="1"/>
    <col min="6664" max="6664" width="8.5703125" style="529" customWidth="1"/>
    <col min="6665" max="6665" width="12.85546875" style="529" customWidth="1"/>
    <col min="6666" max="6666" width="12.140625" style="529" bestFit="1" customWidth="1"/>
    <col min="6667" max="6667" width="9.140625" style="529" customWidth="1"/>
    <col min="6668" max="6668" width="11.5703125" style="529" customWidth="1"/>
    <col min="6669" max="6669" width="11.7109375" style="529" customWidth="1"/>
    <col min="6670" max="6670" width="10.28515625" style="529" customWidth="1"/>
    <col min="6671" max="6671" width="11.5703125" style="529" customWidth="1"/>
    <col min="6672" max="6672" width="14.28515625" style="529" customWidth="1"/>
    <col min="6673" max="6673" width="10.5703125" style="529" customWidth="1"/>
    <col min="6674" max="6674" width="13.5703125" style="529" customWidth="1"/>
    <col min="6675" max="6912" width="9.140625" style="529"/>
    <col min="6913" max="6914" width="6.140625" style="529" customWidth="1"/>
    <col min="6915" max="6915" width="57.42578125" style="529" customWidth="1"/>
    <col min="6916" max="6916" width="14.5703125" style="529" customWidth="1"/>
    <col min="6917" max="6917" width="9.140625" style="529" customWidth="1"/>
    <col min="6918" max="6918" width="13.140625" style="529" customWidth="1"/>
    <col min="6919" max="6919" width="12.42578125" style="529" customWidth="1"/>
    <col min="6920" max="6920" width="8.5703125" style="529" customWidth="1"/>
    <col min="6921" max="6921" width="12.85546875" style="529" customWidth="1"/>
    <col min="6922" max="6922" width="12.140625" style="529" bestFit="1" customWidth="1"/>
    <col min="6923" max="6923" width="9.140625" style="529" customWidth="1"/>
    <col min="6924" max="6924" width="11.5703125" style="529" customWidth="1"/>
    <col min="6925" max="6925" width="11.7109375" style="529" customWidth="1"/>
    <col min="6926" max="6926" width="10.28515625" style="529" customWidth="1"/>
    <col min="6927" max="6927" width="11.5703125" style="529" customWidth="1"/>
    <col min="6928" max="6928" width="14.28515625" style="529" customWidth="1"/>
    <col min="6929" max="6929" width="10.5703125" style="529" customWidth="1"/>
    <col min="6930" max="6930" width="13.5703125" style="529" customWidth="1"/>
    <col min="6931" max="7168" width="9.140625" style="529"/>
    <col min="7169" max="7170" width="6.140625" style="529" customWidth="1"/>
    <col min="7171" max="7171" width="57.42578125" style="529" customWidth="1"/>
    <col min="7172" max="7172" width="14.5703125" style="529" customWidth="1"/>
    <col min="7173" max="7173" width="9.140625" style="529" customWidth="1"/>
    <col min="7174" max="7174" width="13.140625" style="529" customWidth="1"/>
    <col min="7175" max="7175" width="12.42578125" style="529" customWidth="1"/>
    <col min="7176" max="7176" width="8.5703125" style="529" customWidth="1"/>
    <col min="7177" max="7177" width="12.85546875" style="529" customWidth="1"/>
    <col min="7178" max="7178" width="12.140625" style="529" bestFit="1" customWidth="1"/>
    <col min="7179" max="7179" width="9.140625" style="529" customWidth="1"/>
    <col min="7180" max="7180" width="11.5703125" style="529" customWidth="1"/>
    <col min="7181" max="7181" width="11.7109375" style="529" customWidth="1"/>
    <col min="7182" max="7182" width="10.28515625" style="529" customWidth="1"/>
    <col min="7183" max="7183" width="11.5703125" style="529" customWidth="1"/>
    <col min="7184" max="7184" width="14.28515625" style="529" customWidth="1"/>
    <col min="7185" max="7185" width="10.5703125" style="529" customWidth="1"/>
    <col min="7186" max="7186" width="13.5703125" style="529" customWidth="1"/>
    <col min="7187" max="7424" width="9.140625" style="529"/>
    <col min="7425" max="7426" width="6.140625" style="529" customWidth="1"/>
    <col min="7427" max="7427" width="57.42578125" style="529" customWidth="1"/>
    <col min="7428" max="7428" width="14.5703125" style="529" customWidth="1"/>
    <col min="7429" max="7429" width="9.140625" style="529" customWidth="1"/>
    <col min="7430" max="7430" width="13.140625" style="529" customWidth="1"/>
    <col min="7431" max="7431" width="12.42578125" style="529" customWidth="1"/>
    <col min="7432" max="7432" width="8.5703125" style="529" customWidth="1"/>
    <col min="7433" max="7433" width="12.85546875" style="529" customWidth="1"/>
    <col min="7434" max="7434" width="12.140625" style="529" bestFit="1" customWidth="1"/>
    <col min="7435" max="7435" width="9.140625" style="529" customWidth="1"/>
    <col min="7436" max="7436" width="11.5703125" style="529" customWidth="1"/>
    <col min="7437" max="7437" width="11.7109375" style="529" customWidth="1"/>
    <col min="7438" max="7438" width="10.28515625" style="529" customWidth="1"/>
    <col min="7439" max="7439" width="11.5703125" style="529" customWidth="1"/>
    <col min="7440" max="7440" width="14.28515625" style="529" customWidth="1"/>
    <col min="7441" max="7441" width="10.5703125" style="529" customWidth="1"/>
    <col min="7442" max="7442" width="13.5703125" style="529" customWidth="1"/>
    <col min="7443" max="7680" width="9.140625" style="529"/>
    <col min="7681" max="7682" width="6.140625" style="529" customWidth="1"/>
    <col min="7683" max="7683" width="57.42578125" style="529" customWidth="1"/>
    <col min="7684" max="7684" width="14.5703125" style="529" customWidth="1"/>
    <col min="7685" max="7685" width="9.140625" style="529" customWidth="1"/>
    <col min="7686" max="7686" width="13.140625" style="529" customWidth="1"/>
    <col min="7687" max="7687" width="12.42578125" style="529" customWidth="1"/>
    <col min="7688" max="7688" width="8.5703125" style="529" customWidth="1"/>
    <col min="7689" max="7689" width="12.85546875" style="529" customWidth="1"/>
    <col min="7690" max="7690" width="12.140625" style="529" bestFit="1" customWidth="1"/>
    <col min="7691" max="7691" width="9.140625" style="529" customWidth="1"/>
    <col min="7692" max="7692" width="11.5703125" style="529" customWidth="1"/>
    <col min="7693" max="7693" width="11.7109375" style="529" customWidth="1"/>
    <col min="7694" max="7694" width="10.28515625" style="529" customWidth="1"/>
    <col min="7695" max="7695" width="11.5703125" style="529" customWidth="1"/>
    <col min="7696" max="7696" width="14.28515625" style="529" customWidth="1"/>
    <col min="7697" max="7697" width="10.5703125" style="529" customWidth="1"/>
    <col min="7698" max="7698" width="13.5703125" style="529" customWidth="1"/>
    <col min="7699" max="7936" width="9.140625" style="529"/>
    <col min="7937" max="7938" width="6.140625" style="529" customWidth="1"/>
    <col min="7939" max="7939" width="57.42578125" style="529" customWidth="1"/>
    <col min="7940" max="7940" width="14.5703125" style="529" customWidth="1"/>
    <col min="7941" max="7941" width="9.140625" style="529" customWidth="1"/>
    <col min="7942" max="7942" width="13.140625" style="529" customWidth="1"/>
    <col min="7943" max="7943" width="12.42578125" style="529" customWidth="1"/>
    <col min="7944" max="7944" width="8.5703125" style="529" customWidth="1"/>
    <col min="7945" max="7945" width="12.85546875" style="529" customWidth="1"/>
    <col min="7946" max="7946" width="12.140625" style="529" bestFit="1" customWidth="1"/>
    <col min="7947" max="7947" width="9.140625" style="529" customWidth="1"/>
    <col min="7948" max="7948" width="11.5703125" style="529" customWidth="1"/>
    <col min="7949" max="7949" width="11.7109375" style="529" customWidth="1"/>
    <col min="7950" max="7950" width="10.28515625" style="529" customWidth="1"/>
    <col min="7951" max="7951" width="11.5703125" style="529" customWidth="1"/>
    <col min="7952" max="7952" width="14.28515625" style="529" customWidth="1"/>
    <col min="7953" max="7953" width="10.5703125" style="529" customWidth="1"/>
    <col min="7954" max="7954" width="13.5703125" style="529" customWidth="1"/>
    <col min="7955" max="8192" width="9.140625" style="529"/>
    <col min="8193" max="8194" width="6.140625" style="529" customWidth="1"/>
    <col min="8195" max="8195" width="57.42578125" style="529" customWidth="1"/>
    <col min="8196" max="8196" width="14.5703125" style="529" customWidth="1"/>
    <col min="8197" max="8197" width="9.140625" style="529" customWidth="1"/>
    <col min="8198" max="8198" width="13.140625" style="529" customWidth="1"/>
    <col min="8199" max="8199" width="12.42578125" style="529" customWidth="1"/>
    <col min="8200" max="8200" width="8.5703125" style="529" customWidth="1"/>
    <col min="8201" max="8201" width="12.85546875" style="529" customWidth="1"/>
    <col min="8202" max="8202" width="12.140625" style="529" bestFit="1" customWidth="1"/>
    <col min="8203" max="8203" width="9.140625" style="529" customWidth="1"/>
    <col min="8204" max="8204" width="11.5703125" style="529" customWidth="1"/>
    <col min="8205" max="8205" width="11.7109375" style="529" customWidth="1"/>
    <col min="8206" max="8206" width="10.28515625" style="529" customWidth="1"/>
    <col min="8207" max="8207" width="11.5703125" style="529" customWidth="1"/>
    <col min="8208" max="8208" width="14.28515625" style="529" customWidth="1"/>
    <col min="8209" max="8209" width="10.5703125" style="529" customWidth="1"/>
    <col min="8210" max="8210" width="13.5703125" style="529" customWidth="1"/>
    <col min="8211" max="8448" width="9.140625" style="529"/>
    <col min="8449" max="8450" width="6.140625" style="529" customWidth="1"/>
    <col min="8451" max="8451" width="57.42578125" style="529" customWidth="1"/>
    <col min="8452" max="8452" width="14.5703125" style="529" customWidth="1"/>
    <col min="8453" max="8453" width="9.140625" style="529" customWidth="1"/>
    <col min="8454" max="8454" width="13.140625" style="529" customWidth="1"/>
    <col min="8455" max="8455" width="12.42578125" style="529" customWidth="1"/>
    <col min="8456" max="8456" width="8.5703125" style="529" customWidth="1"/>
    <col min="8457" max="8457" width="12.85546875" style="529" customWidth="1"/>
    <col min="8458" max="8458" width="12.140625" style="529" bestFit="1" customWidth="1"/>
    <col min="8459" max="8459" width="9.140625" style="529" customWidth="1"/>
    <col min="8460" max="8460" width="11.5703125" style="529" customWidth="1"/>
    <col min="8461" max="8461" width="11.7109375" style="529" customWidth="1"/>
    <col min="8462" max="8462" width="10.28515625" style="529" customWidth="1"/>
    <col min="8463" max="8463" width="11.5703125" style="529" customWidth="1"/>
    <col min="8464" max="8464" width="14.28515625" style="529" customWidth="1"/>
    <col min="8465" max="8465" width="10.5703125" style="529" customWidth="1"/>
    <col min="8466" max="8466" width="13.5703125" style="529" customWidth="1"/>
    <col min="8467" max="8704" width="9.140625" style="529"/>
    <col min="8705" max="8706" width="6.140625" style="529" customWidth="1"/>
    <col min="8707" max="8707" width="57.42578125" style="529" customWidth="1"/>
    <col min="8708" max="8708" width="14.5703125" style="529" customWidth="1"/>
    <col min="8709" max="8709" width="9.140625" style="529" customWidth="1"/>
    <col min="8710" max="8710" width="13.140625" style="529" customWidth="1"/>
    <col min="8711" max="8711" width="12.42578125" style="529" customWidth="1"/>
    <col min="8712" max="8712" width="8.5703125" style="529" customWidth="1"/>
    <col min="8713" max="8713" width="12.85546875" style="529" customWidth="1"/>
    <col min="8714" max="8714" width="12.140625" style="529" bestFit="1" customWidth="1"/>
    <col min="8715" max="8715" width="9.140625" style="529" customWidth="1"/>
    <col min="8716" max="8716" width="11.5703125" style="529" customWidth="1"/>
    <col min="8717" max="8717" width="11.7109375" style="529" customWidth="1"/>
    <col min="8718" max="8718" width="10.28515625" style="529" customWidth="1"/>
    <col min="8719" max="8719" width="11.5703125" style="529" customWidth="1"/>
    <col min="8720" max="8720" width="14.28515625" style="529" customWidth="1"/>
    <col min="8721" max="8721" width="10.5703125" style="529" customWidth="1"/>
    <col min="8722" max="8722" width="13.5703125" style="529" customWidth="1"/>
    <col min="8723" max="8960" width="9.140625" style="529"/>
    <col min="8961" max="8962" width="6.140625" style="529" customWidth="1"/>
    <col min="8963" max="8963" width="57.42578125" style="529" customWidth="1"/>
    <col min="8964" max="8964" width="14.5703125" style="529" customWidth="1"/>
    <col min="8965" max="8965" width="9.140625" style="529" customWidth="1"/>
    <col min="8966" max="8966" width="13.140625" style="529" customWidth="1"/>
    <col min="8967" max="8967" width="12.42578125" style="529" customWidth="1"/>
    <col min="8968" max="8968" width="8.5703125" style="529" customWidth="1"/>
    <col min="8969" max="8969" width="12.85546875" style="529" customWidth="1"/>
    <col min="8970" max="8970" width="12.140625" style="529" bestFit="1" customWidth="1"/>
    <col min="8971" max="8971" width="9.140625" style="529" customWidth="1"/>
    <col min="8972" max="8972" width="11.5703125" style="529" customWidth="1"/>
    <col min="8973" max="8973" width="11.7109375" style="529" customWidth="1"/>
    <col min="8974" max="8974" width="10.28515625" style="529" customWidth="1"/>
    <col min="8975" max="8975" width="11.5703125" style="529" customWidth="1"/>
    <col min="8976" max="8976" width="14.28515625" style="529" customWidth="1"/>
    <col min="8977" max="8977" width="10.5703125" style="529" customWidth="1"/>
    <col min="8978" max="8978" width="13.5703125" style="529" customWidth="1"/>
    <col min="8979" max="9216" width="9.140625" style="529"/>
    <col min="9217" max="9218" width="6.140625" style="529" customWidth="1"/>
    <col min="9219" max="9219" width="57.42578125" style="529" customWidth="1"/>
    <col min="9220" max="9220" width="14.5703125" style="529" customWidth="1"/>
    <col min="9221" max="9221" width="9.140625" style="529" customWidth="1"/>
    <col min="9222" max="9222" width="13.140625" style="529" customWidth="1"/>
    <col min="9223" max="9223" width="12.42578125" style="529" customWidth="1"/>
    <col min="9224" max="9224" width="8.5703125" style="529" customWidth="1"/>
    <col min="9225" max="9225" width="12.85546875" style="529" customWidth="1"/>
    <col min="9226" max="9226" width="12.140625" style="529" bestFit="1" customWidth="1"/>
    <col min="9227" max="9227" width="9.140625" style="529" customWidth="1"/>
    <col min="9228" max="9228" width="11.5703125" style="529" customWidth="1"/>
    <col min="9229" max="9229" width="11.7109375" style="529" customWidth="1"/>
    <col min="9230" max="9230" width="10.28515625" style="529" customWidth="1"/>
    <col min="9231" max="9231" width="11.5703125" style="529" customWidth="1"/>
    <col min="9232" max="9232" width="14.28515625" style="529" customWidth="1"/>
    <col min="9233" max="9233" width="10.5703125" style="529" customWidth="1"/>
    <col min="9234" max="9234" width="13.5703125" style="529" customWidth="1"/>
    <col min="9235" max="9472" width="9.140625" style="529"/>
    <col min="9473" max="9474" width="6.140625" style="529" customWidth="1"/>
    <col min="9475" max="9475" width="57.42578125" style="529" customWidth="1"/>
    <col min="9476" max="9476" width="14.5703125" style="529" customWidth="1"/>
    <col min="9477" max="9477" width="9.140625" style="529" customWidth="1"/>
    <col min="9478" max="9478" width="13.140625" style="529" customWidth="1"/>
    <col min="9479" max="9479" width="12.42578125" style="529" customWidth="1"/>
    <col min="9480" max="9480" width="8.5703125" style="529" customWidth="1"/>
    <col min="9481" max="9481" width="12.85546875" style="529" customWidth="1"/>
    <col min="9482" max="9482" width="12.140625" style="529" bestFit="1" customWidth="1"/>
    <col min="9483" max="9483" width="9.140625" style="529" customWidth="1"/>
    <col min="9484" max="9484" width="11.5703125" style="529" customWidth="1"/>
    <col min="9485" max="9485" width="11.7109375" style="529" customWidth="1"/>
    <col min="9486" max="9486" width="10.28515625" style="529" customWidth="1"/>
    <col min="9487" max="9487" width="11.5703125" style="529" customWidth="1"/>
    <col min="9488" max="9488" width="14.28515625" style="529" customWidth="1"/>
    <col min="9489" max="9489" width="10.5703125" style="529" customWidth="1"/>
    <col min="9490" max="9490" width="13.5703125" style="529" customWidth="1"/>
    <col min="9491" max="9728" width="9.140625" style="529"/>
    <col min="9729" max="9730" width="6.140625" style="529" customWidth="1"/>
    <col min="9731" max="9731" width="57.42578125" style="529" customWidth="1"/>
    <col min="9732" max="9732" width="14.5703125" style="529" customWidth="1"/>
    <col min="9733" max="9733" width="9.140625" style="529" customWidth="1"/>
    <col min="9734" max="9734" width="13.140625" style="529" customWidth="1"/>
    <col min="9735" max="9735" width="12.42578125" style="529" customWidth="1"/>
    <col min="9736" max="9736" width="8.5703125" style="529" customWidth="1"/>
    <col min="9737" max="9737" width="12.85546875" style="529" customWidth="1"/>
    <col min="9738" max="9738" width="12.140625" style="529" bestFit="1" customWidth="1"/>
    <col min="9739" max="9739" width="9.140625" style="529" customWidth="1"/>
    <col min="9740" max="9740" width="11.5703125" style="529" customWidth="1"/>
    <col min="9741" max="9741" width="11.7109375" style="529" customWidth="1"/>
    <col min="9742" max="9742" width="10.28515625" style="529" customWidth="1"/>
    <col min="9743" max="9743" width="11.5703125" style="529" customWidth="1"/>
    <col min="9744" max="9744" width="14.28515625" style="529" customWidth="1"/>
    <col min="9745" max="9745" width="10.5703125" style="529" customWidth="1"/>
    <col min="9746" max="9746" width="13.5703125" style="529" customWidth="1"/>
    <col min="9747" max="9984" width="9.140625" style="529"/>
    <col min="9985" max="9986" width="6.140625" style="529" customWidth="1"/>
    <col min="9987" max="9987" width="57.42578125" style="529" customWidth="1"/>
    <col min="9988" max="9988" width="14.5703125" style="529" customWidth="1"/>
    <col min="9989" max="9989" width="9.140625" style="529" customWidth="1"/>
    <col min="9990" max="9990" width="13.140625" style="529" customWidth="1"/>
    <col min="9991" max="9991" width="12.42578125" style="529" customWidth="1"/>
    <col min="9992" max="9992" width="8.5703125" style="529" customWidth="1"/>
    <col min="9993" max="9993" width="12.85546875" style="529" customWidth="1"/>
    <col min="9994" max="9994" width="12.140625" style="529" bestFit="1" customWidth="1"/>
    <col min="9995" max="9995" width="9.140625" style="529" customWidth="1"/>
    <col min="9996" max="9996" width="11.5703125" style="529" customWidth="1"/>
    <col min="9997" max="9997" width="11.7109375" style="529" customWidth="1"/>
    <col min="9998" max="9998" width="10.28515625" style="529" customWidth="1"/>
    <col min="9999" max="9999" width="11.5703125" style="529" customWidth="1"/>
    <col min="10000" max="10000" width="14.28515625" style="529" customWidth="1"/>
    <col min="10001" max="10001" width="10.5703125" style="529" customWidth="1"/>
    <col min="10002" max="10002" width="13.5703125" style="529" customWidth="1"/>
    <col min="10003" max="10240" width="9.140625" style="529"/>
    <col min="10241" max="10242" width="6.140625" style="529" customWidth="1"/>
    <col min="10243" max="10243" width="57.42578125" style="529" customWidth="1"/>
    <col min="10244" max="10244" width="14.5703125" style="529" customWidth="1"/>
    <col min="10245" max="10245" width="9.140625" style="529" customWidth="1"/>
    <col min="10246" max="10246" width="13.140625" style="529" customWidth="1"/>
    <col min="10247" max="10247" width="12.42578125" style="529" customWidth="1"/>
    <col min="10248" max="10248" width="8.5703125" style="529" customWidth="1"/>
    <col min="10249" max="10249" width="12.85546875" style="529" customWidth="1"/>
    <col min="10250" max="10250" width="12.140625" style="529" bestFit="1" customWidth="1"/>
    <col min="10251" max="10251" width="9.140625" style="529" customWidth="1"/>
    <col min="10252" max="10252" width="11.5703125" style="529" customWidth="1"/>
    <col min="10253" max="10253" width="11.7109375" style="529" customWidth="1"/>
    <col min="10254" max="10254" width="10.28515625" style="529" customWidth="1"/>
    <col min="10255" max="10255" width="11.5703125" style="529" customWidth="1"/>
    <col min="10256" max="10256" width="14.28515625" style="529" customWidth="1"/>
    <col min="10257" max="10257" width="10.5703125" style="529" customWidth="1"/>
    <col min="10258" max="10258" width="13.5703125" style="529" customWidth="1"/>
    <col min="10259" max="10496" width="9.140625" style="529"/>
    <col min="10497" max="10498" width="6.140625" style="529" customWidth="1"/>
    <col min="10499" max="10499" width="57.42578125" style="529" customWidth="1"/>
    <col min="10500" max="10500" width="14.5703125" style="529" customWidth="1"/>
    <col min="10501" max="10501" width="9.140625" style="529" customWidth="1"/>
    <col min="10502" max="10502" width="13.140625" style="529" customWidth="1"/>
    <col min="10503" max="10503" width="12.42578125" style="529" customWidth="1"/>
    <col min="10504" max="10504" width="8.5703125" style="529" customWidth="1"/>
    <col min="10505" max="10505" width="12.85546875" style="529" customWidth="1"/>
    <col min="10506" max="10506" width="12.140625" style="529" bestFit="1" customWidth="1"/>
    <col min="10507" max="10507" width="9.140625" style="529" customWidth="1"/>
    <col min="10508" max="10508" width="11.5703125" style="529" customWidth="1"/>
    <col min="10509" max="10509" width="11.7109375" style="529" customWidth="1"/>
    <col min="10510" max="10510" width="10.28515625" style="529" customWidth="1"/>
    <col min="10511" max="10511" width="11.5703125" style="529" customWidth="1"/>
    <col min="10512" max="10512" width="14.28515625" style="529" customWidth="1"/>
    <col min="10513" max="10513" width="10.5703125" style="529" customWidth="1"/>
    <col min="10514" max="10514" width="13.5703125" style="529" customWidth="1"/>
    <col min="10515" max="10752" width="9.140625" style="529"/>
    <col min="10753" max="10754" width="6.140625" style="529" customWidth="1"/>
    <col min="10755" max="10755" width="57.42578125" style="529" customWidth="1"/>
    <col min="10756" max="10756" width="14.5703125" style="529" customWidth="1"/>
    <col min="10757" max="10757" width="9.140625" style="529" customWidth="1"/>
    <col min="10758" max="10758" width="13.140625" style="529" customWidth="1"/>
    <col min="10759" max="10759" width="12.42578125" style="529" customWidth="1"/>
    <col min="10760" max="10760" width="8.5703125" style="529" customWidth="1"/>
    <col min="10761" max="10761" width="12.85546875" style="529" customWidth="1"/>
    <col min="10762" max="10762" width="12.140625" style="529" bestFit="1" customWidth="1"/>
    <col min="10763" max="10763" width="9.140625" style="529" customWidth="1"/>
    <col min="10764" max="10764" width="11.5703125" style="529" customWidth="1"/>
    <col min="10765" max="10765" width="11.7109375" style="529" customWidth="1"/>
    <col min="10766" max="10766" width="10.28515625" style="529" customWidth="1"/>
    <col min="10767" max="10767" width="11.5703125" style="529" customWidth="1"/>
    <col min="10768" max="10768" width="14.28515625" style="529" customWidth="1"/>
    <col min="10769" max="10769" width="10.5703125" style="529" customWidth="1"/>
    <col min="10770" max="10770" width="13.5703125" style="529" customWidth="1"/>
    <col min="10771" max="11008" width="9.140625" style="529"/>
    <col min="11009" max="11010" width="6.140625" style="529" customWidth="1"/>
    <col min="11011" max="11011" width="57.42578125" style="529" customWidth="1"/>
    <col min="11012" max="11012" width="14.5703125" style="529" customWidth="1"/>
    <col min="11013" max="11013" width="9.140625" style="529" customWidth="1"/>
    <col min="11014" max="11014" width="13.140625" style="529" customWidth="1"/>
    <col min="11015" max="11015" width="12.42578125" style="529" customWidth="1"/>
    <col min="11016" max="11016" width="8.5703125" style="529" customWidth="1"/>
    <col min="11017" max="11017" width="12.85546875" style="529" customWidth="1"/>
    <col min="11018" max="11018" width="12.140625" style="529" bestFit="1" customWidth="1"/>
    <col min="11019" max="11019" width="9.140625" style="529" customWidth="1"/>
    <col min="11020" max="11020" width="11.5703125" style="529" customWidth="1"/>
    <col min="11021" max="11021" width="11.7109375" style="529" customWidth="1"/>
    <col min="11022" max="11022" width="10.28515625" style="529" customWidth="1"/>
    <col min="11023" max="11023" width="11.5703125" style="529" customWidth="1"/>
    <col min="11024" max="11024" width="14.28515625" style="529" customWidth="1"/>
    <col min="11025" max="11025" width="10.5703125" style="529" customWidth="1"/>
    <col min="11026" max="11026" width="13.5703125" style="529" customWidth="1"/>
    <col min="11027" max="11264" width="9.140625" style="529"/>
    <col min="11265" max="11266" width="6.140625" style="529" customWidth="1"/>
    <col min="11267" max="11267" width="57.42578125" style="529" customWidth="1"/>
    <col min="11268" max="11268" width="14.5703125" style="529" customWidth="1"/>
    <col min="11269" max="11269" width="9.140625" style="529" customWidth="1"/>
    <col min="11270" max="11270" width="13.140625" style="529" customWidth="1"/>
    <col min="11271" max="11271" width="12.42578125" style="529" customWidth="1"/>
    <col min="11272" max="11272" width="8.5703125" style="529" customWidth="1"/>
    <col min="11273" max="11273" width="12.85546875" style="529" customWidth="1"/>
    <col min="11274" max="11274" width="12.140625" style="529" bestFit="1" customWidth="1"/>
    <col min="11275" max="11275" width="9.140625" style="529" customWidth="1"/>
    <col min="11276" max="11276" width="11.5703125" style="529" customWidth="1"/>
    <col min="11277" max="11277" width="11.7109375" style="529" customWidth="1"/>
    <col min="11278" max="11278" width="10.28515625" style="529" customWidth="1"/>
    <col min="11279" max="11279" width="11.5703125" style="529" customWidth="1"/>
    <col min="11280" max="11280" width="14.28515625" style="529" customWidth="1"/>
    <col min="11281" max="11281" width="10.5703125" style="529" customWidth="1"/>
    <col min="11282" max="11282" width="13.5703125" style="529" customWidth="1"/>
    <col min="11283" max="11520" width="9.140625" style="529"/>
    <col min="11521" max="11522" width="6.140625" style="529" customWidth="1"/>
    <col min="11523" max="11523" width="57.42578125" style="529" customWidth="1"/>
    <col min="11524" max="11524" width="14.5703125" style="529" customWidth="1"/>
    <col min="11525" max="11525" width="9.140625" style="529" customWidth="1"/>
    <col min="11526" max="11526" width="13.140625" style="529" customWidth="1"/>
    <col min="11527" max="11527" width="12.42578125" style="529" customWidth="1"/>
    <col min="11528" max="11528" width="8.5703125" style="529" customWidth="1"/>
    <col min="11529" max="11529" width="12.85546875" style="529" customWidth="1"/>
    <col min="11530" max="11530" width="12.140625" style="529" bestFit="1" customWidth="1"/>
    <col min="11531" max="11531" width="9.140625" style="529" customWidth="1"/>
    <col min="11532" max="11532" width="11.5703125" style="529" customWidth="1"/>
    <col min="11533" max="11533" width="11.7109375" style="529" customWidth="1"/>
    <col min="11534" max="11534" width="10.28515625" style="529" customWidth="1"/>
    <col min="11535" max="11535" width="11.5703125" style="529" customWidth="1"/>
    <col min="11536" max="11536" width="14.28515625" style="529" customWidth="1"/>
    <col min="11537" max="11537" width="10.5703125" style="529" customWidth="1"/>
    <col min="11538" max="11538" width="13.5703125" style="529" customWidth="1"/>
    <col min="11539" max="11776" width="9.140625" style="529"/>
    <col min="11777" max="11778" width="6.140625" style="529" customWidth="1"/>
    <col min="11779" max="11779" width="57.42578125" style="529" customWidth="1"/>
    <col min="11780" max="11780" width="14.5703125" style="529" customWidth="1"/>
    <col min="11781" max="11781" width="9.140625" style="529" customWidth="1"/>
    <col min="11782" max="11782" width="13.140625" style="529" customWidth="1"/>
    <col min="11783" max="11783" width="12.42578125" style="529" customWidth="1"/>
    <col min="11784" max="11784" width="8.5703125" style="529" customWidth="1"/>
    <col min="11785" max="11785" width="12.85546875" style="529" customWidth="1"/>
    <col min="11786" max="11786" width="12.140625" style="529" bestFit="1" customWidth="1"/>
    <col min="11787" max="11787" width="9.140625" style="529" customWidth="1"/>
    <col min="11788" max="11788" width="11.5703125" style="529" customWidth="1"/>
    <col min="11789" max="11789" width="11.7109375" style="529" customWidth="1"/>
    <col min="11790" max="11790" width="10.28515625" style="529" customWidth="1"/>
    <col min="11791" max="11791" width="11.5703125" style="529" customWidth="1"/>
    <col min="11792" max="11792" width="14.28515625" style="529" customWidth="1"/>
    <col min="11793" max="11793" width="10.5703125" style="529" customWidth="1"/>
    <col min="11794" max="11794" width="13.5703125" style="529" customWidth="1"/>
    <col min="11795" max="12032" width="9.140625" style="529"/>
    <col min="12033" max="12034" width="6.140625" style="529" customWidth="1"/>
    <col min="12035" max="12035" width="57.42578125" style="529" customWidth="1"/>
    <col min="12036" max="12036" width="14.5703125" style="529" customWidth="1"/>
    <col min="12037" max="12037" width="9.140625" style="529" customWidth="1"/>
    <col min="12038" max="12038" width="13.140625" style="529" customWidth="1"/>
    <col min="12039" max="12039" width="12.42578125" style="529" customWidth="1"/>
    <col min="12040" max="12040" width="8.5703125" style="529" customWidth="1"/>
    <col min="12041" max="12041" width="12.85546875" style="529" customWidth="1"/>
    <col min="12042" max="12042" width="12.140625" style="529" bestFit="1" customWidth="1"/>
    <col min="12043" max="12043" width="9.140625" style="529" customWidth="1"/>
    <col min="12044" max="12044" width="11.5703125" style="529" customWidth="1"/>
    <col min="12045" max="12045" width="11.7109375" style="529" customWidth="1"/>
    <col min="12046" max="12046" width="10.28515625" style="529" customWidth="1"/>
    <col min="12047" max="12047" width="11.5703125" style="529" customWidth="1"/>
    <col min="12048" max="12048" width="14.28515625" style="529" customWidth="1"/>
    <col min="12049" max="12049" width="10.5703125" style="529" customWidth="1"/>
    <col min="12050" max="12050" width="13.5703125" style="529" customWidth="1"/>
    <col min="12051" max="12288" width="9.140625" style="529"/>
    <col min="12289" max="12290" width="6.140625" style="529" customWidth="1"/>
    <col min="12291" max="12291" width="57.42578125" style="529" customWidth="1"/>
    <col min="12292" max="12292" width="14.5703125" style="529" customWidth="1"/>
    <col min="12293" max="12293" width="9.140625" style="529" customWidth="1"/>
    <col min="12294" max="12294" width="13.140625" style="529" customWidth="1"/>
    <col min="12295" max="12295" width="12.42578125" style="529" customWidth="1"/>
    <col min="12296" max="12296" width="8.5703125" style="529" customWidth="1"/>
    <col min="12297" max="12297" width="12.85546875" style="529" customWidth="1"/>
    <col min="12298" max="12298" width="12.140625" style="529" bestFit="1" customWidth="1"/>
    <col min="12299" max="12299" width="9.140625" style="529" customWidth="1"/>
    <col min="12300" max="12300" width="11.5703125" style="529" customWidth="1"/>
    <col min="12301" max="12301" width="11.7109375" style="529" customWidth="1"/>
    <col min="12302" max="12302" width="10.28515625" style="529" customWidth="1"/>
    <col min="12303" max="12303" width="11.5703125" style="529" customWidth="1"/>
    <col min="12304" max="12304" width="14.28515625" style="529" customWidth="1"/>
    <col min="12305" max="12305" width="10.5703125" style="529" customWidth="1"/>
    <col min="12306" max="12306" width="13.5703125" style="529" customWidth="1"/>
    <col min="12307" max="12544" width="9.140625" style="529"/>
    <col min="12545" max="12546" width="6.140625" style="529" customWidth="1"/>
    <col min="12547" max="12547" width="57.42578125" style="529" customWidth="1"/>
    <col min="12548" max="12548" width="14.5703125" style="529" customWidth="1"/>
    <col min="12549" max="12549" width="9.140625" style="529" customWidth="1"/>
    <col min="12550" max="12550" width="13.140625" style="529" customWidth="1"/>
    <col min="12551" max="12551" width="12.42578125" style="529" customWidth="1"/>
    <col min="12552" max="12552" width="8.5703125" style="529" customWidth="1"/>
    <col min="12553" max="12553" width="12.85546875" style="529" customWidth="1"/>
    <col min="12554" max="12554" width="12.140625" style="529" bestFit="1" customWidth="1"/>
    <col min="12555" max="12555" width="9.140625" style="529" customWidth="1"/>
    <col min="12556" max="12556" width="11.5703125" style="529" customWidth="1"/>
    <col min="12557" max="12557" width="11.7109375" style="529" customWidth="1"/>
    <col min="12558" max="12558" width="10.28515625" style="529" customWidth="1"/>
    <col min="12559" max="12559" width="11.5703125" style="529" customWidth="1"/>
    <col min="12560" max="12560" width="14.28515625" style="529" customWidth="1"/>
    <col min="12561" max="12561" width="10.5703125" style="529" customWidth="1"/>
    <col min="12562" max="12562" width="13.5703125" style="529" customWidth="1"/>
    <col min="12563" max="12800" width="9.140625" style="529"/>
    <col min="12801" max="12802" width="6.140625" style="529" customWidth="1"/>
    <col min="12803" max="12803" width="57.42578125" style="529" customWidth="1"/>
    <col min="12804" max="12804" width="14.5703125" style="529" customWidth="1"/>
    <col min="12805" max="12805" width="9.140625" style="529" customWidth="1"/>
    <col min="12806" max="12806" width="13.140625" style="529" customWidth="1"/>
    <col min="12807" max="12807" width="12.42578125" style="529" customWidth="1"/>
    <col min="12808" max="12808" width="8.5703125" style="529" customWidth="1"/>
    <col min="12809" max="12809" width="12.85546875" style="529" customWidth="1"/>
    <col min="12810" max="12810" width="12.140625" style="529" bestFit="1" customWidth="1"/>
    <col min="12811" max="12811" width="9.140625" style="529" customWidth="1"/>
    <col min="12812" max="12812" width="11.5703125" style="529" customWidth="1"/>
    <col min="12813" max="12813" width="11.7109375" style="529" customWidth="1"/>
    <col min="12814" max="12814" width="10.28515625" style="529" customWidth="1"/>
    <col min="12815" max="12815" width="11.5703125" style="529" customWidth="1"/>
    <col min="12816" max="12816" width="14.28515625" style="529" customWidth="1"/>
    <col min="12817" max="12817" width="10.5703125" style="529" customWidth="1"/>
    <col min="12818" max="12818" width="13.5703125" style="529" customWidth="1"/>
    <col min="12819" max="13056" width="9.140625" style="529"/>
    <col min="13057" max="13058" width="6.140625" style="529" customWidth="1"/>
    <col min="13059" max="13059" width="57.42578125" style="529" customWidth="1"/>
    <col min="13060" max="13060" width="14.5703125" style="529" customWidth="1"/>
    <col min="13061" max="13061" width="9.140625" style="529" customWidth="1"/>
    <col min="13062" max="13062" width="13.140625" style="529" customWidth="1"/>
    <col min="13063" max="13063" width="12.42578125" style="529" customWidth="1"/>
    <col min="13064" max="13064" width="8.5703125" style="529" customWidth="1"/>
    <col min="13065" max="13065" width="12.85546875" style="529" customWidth="1"/>
    <col min="13066" max="13066" width="12.140625" style="529" bestFit="1" customWidth="1"/>
    <col min="13067" max="13067" width="9.140625" style="529" customWidth="1"/>
    <col min="13068" max="13068" width="11.5703125" style="529" customWidth="1"/>
    <col min="13069" max="13069" width="11.7109375" style="529" customWidth="1"/>
    <col min="13070" max="13070" width="10.28515625" style="529" customWidth="1"/>
    <col min="13071" max="13071" width="11.5703125" style="529" customWidth="1"/>
    <col min="13072" max="13072" width="14.28515625" style="529" customWidth="1"/>
    <col min="13073" max="13073" width="10.5703125" style="529" customWidth="1"/>
    <col min="13074" max="13074" width="13.5703125" style="529" customWidth="1"/>
    <col min="13075" max="13312" width="9.140625" style="529"/>
    <col min="13313" max="13314" width="6.140625" style="529" customWidth="1"/>
    <col min="13315" max="13315" width="57.42578125" style="529" customWidth="1"/>
    <col min="13316" max="13316" width="14.5703125" style="529" customWidth="1"/>
    <col min="13317" max="13317" width="9.140625" style="529" customWidth="1"/>
    <col min="13318" max="13318" width="13.140625" style="529" customWidth="1"/>
    <col min="13319" max="13319" width="12.42578125" style="529" customWidth="1"/>
    <col min="13320" max="13320" width="8.5703125" style="529" customWidth="1"/>
    <col min="13321" max="13321" width="12.85546875" style="529" customWidth="1"/>
    <col min="13322" max="13322" width="12.140625" style="529" bestFit="1" customWidth="1"/>
    <col min="13323" max="13323" width="9.140625" style="529" customWidth="1"/>
    <col min="13324" max="13324" width="11.5703125" style="529" customWidth="1"/>
    <col min="13325" max="13325" width="11.7109375" style="529" customWidth="1"/>
    <col min="13326" max="13326" width="10.28515625" style="529" customWidth="1"/>
    <col min="13327" max="13327" width="11.5703125" style="529" customWidth="1"/>
    <col min="13328" max="13328" width="14.28515625" style="529" customWidth="1"/>
    <col min="13329" max="13329" width="10.5703125" style="529" customWidth="1"/>
    <col min="13330" max="13330" width="13.5703125" style="529" customWidth="1"/>
    <col min="13331" max="13568" width="9.140625" style="529"/>
    <col min="13569" max="13570" width="6.140625" style="529" customWidth="1"/>
    <col min="13571" max="13571" width="57.42578125" style="529" customWidth="1"/>
    <col min="13572" max="13572" width="14.5703125" style="529" customWidth="1"/>
    <col min="13573" max="13573" width="9.140625" style="529" customWidth="1"/>
    <col min="13574" max="13574" width="13.140625" style="529" customWidth="1"/>
    <col min="13575" max="13575" width="12.42578125" style="529" customWidth="1"/>
    <col min="13576" max="13576" width="8.5703125" style="529" customWidth="1"/>
    <col min="13577" max="13577" width="12.85546875" style="529" customWidth="1"/>
    <col min="13578" max="13578" width="12.140625" style="529" bestFit="1" customWidth="1"/>
    <col min="13579" max="13579" width="9.140625" style="529" customWidth="1"/>
    <col min="13580" max="13580" width="11.5703125" style="529" customWidth="1"/>
    <col min="13581" max="13581" width="11.7109375" style="529" customWidth="1"/>
    <col min="13582" max="13582" width="10.28515625" style="529" customWidth="1"/>
    <col min="13583" max="13583" width="11.5703125" style="529" customWidth="1"/>
    <col min="13584" max="13584" width="14.28515625" style="529" customWidth="1"/>
    <col min="13585" max="13585" width="10.5703125" style="529" customWidth="1"/>
    <col min="13586" max="13586" width="13.5703125" style="529" customWidth="1"/>
    <col min="13587" max="13824" width="9.140625" style="529"/>
    <col min="13825" max="13826" width="6.140625" style="529" customWidth="1"/>
    <col min="13827" max="13827" width="57.42578125" style="529" customWidth="1"/>
    <col min="13828" max="13828" width="14.5703125" style="529" customWidth="1"/>
    <col min="13829" max="13829" width="9.140625" style="529" customWidth="1"/>
    <col min="13830" max="13830" width="13.140625" style="529" customWidth="1"/>
    <col min="13831" max="13831" width="12.42578125" style="529" customWidth="1"/>
    <col min="13832" max="13832" width="8.5703125" style="529" customWidth="1"/>
    <col min="13833" max="13833" width="12.85546875" style="529" customWidth="1"/>
    <col min="13834" max="13834" width="12.140625" style="529" bestFit="1" customWidth="1"/>
    <col min="13835" max="13835" width="9.140625" style="529" customWidth="1"/>
    <col min="13836" max="13836" width="11.5703125" style="529" customWidth="1"/>
    <col min="13837" max="13837" width="11.7109375" style="529" customWidth="1"/>
    <col min="13838" max="13838" width="10.28515625" style="529" customWidth="1"/>
    <col min="13839" max="13839" width="11.5703125" style="529" customWidth="1"/>
    <col min="13840" max="13840" width="14.28515625" style="529" customWidth="1"/>
    <col min="13841" max="13841" width="10.5703125" style="529" customWidth="1"/>
    <col min="13842" max="13842" width="13.5703125" style="529" customWidth="1"/>
    <col min="13843" max="14080" width="9.140625" style="529"/>
    <col min="14081" max="14082" width="6.140625" style="529" customWidth="1"/>
    <col min="14083" max="14083" width="57.42578125" style="529" customWidth="1"/>
    <col min="14084" max="14084" width="14.5703125" style="529" customWidth="1"/>
    <col min="14085" max="14085" width="9.140625" style="529" customWidth="1"/>
    <col min="14086" max="14086" width="13.140625" style="529" customWidth="1"/>
    <col min="14087" max="14087" width="12.42578125" style="529" customWidth="1"/>
    <col min="14088" max="14088" width="8.5703125" style="529" customWidth="1"/>
    <col min="14089" max="14089" width="12.85546875" style="529" customWidth="1"/>
    <col min="14090" max="14090" width="12.140625" style="529" bestFit="1" customWidth="1"/>
    <col min="14091" max="14091" width="9.140625" style="529" customWidth="1"/>
    <col min="14092" max="14092" width="11.5703125" style="529" customWidth="1"/>
    <col min="14093" max="14093" width="11.7109375" style="529" customWidth="1"/>
    <col min="14094" max="14094" width="10.28515625" style="529" customWidth="1"/>
    <col min="14095" max="14095" width="11.5703125" style="529" customWidth="1"/>
    <col min="14096" max="14096" width="14.28515625" style="529" customWidth="1"/>
    <col min="14097" max="14097" width="10.5703125" style="529" customWidth="1"/>
    <col min="14098" max="14098" width="13.5703125" style="529" customWidth="1"/>
    <col min="14099" max="14336" width="9.140625" style="529"/>
    <col min="14337" max="14338" width="6.140625" style="529" customWidth="1"/>
    <col min="14339" max="14339" width="57.42578125" style="529" customWidth="1"/>
    <col min="14340" max="14340" width="14.5703125" style="529" customWidth="1"/>
    <col min="14341" max="14341" width="9.140625" style="529" customWidth="1"/>
    <col min="14342" max="14342" width="13.140625" style="529" customWidth="1"/>
    <col min="14343" max="14343" width="12.42578125" style="529" customWidth="1"/>
    <col min="14344" max="14344" width="8.5703125" style="529" customWidth="1"/>
    <col min="14345" max="14345" width="12.85546875" style="529" customWidth="1"/>
    <col min="14346" max="14346" width="12.140625" style="529" bestFit="1" customWidth="1"/>
    <col min="14347" max="14347" width="9.140625" style="529" customWidth="1"/>
    <col min="14348" max="14348" width="11.5703125" style="529" customWidth="1"/>
    <col min="14349" max="14349" width="11.7109375" style="529" customWidth="1"/>
    <col min="14350" max="14350" width="10.28515625" style="529" customWidth="1"/>
    <col min="14351" max="14351" width="11.5703125" style="529" customWidth="1"/>
    <col min="14352" max="14352" width="14.28515625" style="529" customWidth="1"/>
    <col min="14353" max="14353" width="10.5703125" style="529" customWidth="1"/>
    <col min="14354" max="14354" width="13.5703125" style="529" customWidth="1"/>
    <col min="14355" max="14592" width="9.140625" style="529"/>
    <col min="14593" max="14594" width="6.140625" style="529" customWidth="1"/>
    <col min="14595" max="14595" width="57.42578125" style="529" customWidth="1"/>
    <col min="14596" max="14596" width="14.5703125" style="529" customWidth="1"/>
    <col min="14597" max="14597" width="9.140625" style="529" customWidth="1"/>
    <col min="14598" max="14598" width="13.140625" style="529" customWidth="1"/>
    <col min="14599" max="14599" width="12.42578125" style="529" customWidth="1"/>
    <col min="14600" max="14600" width="8.5703125" style="529" customWidth="1"/>
    <col min="14601" max="14601" width="12.85546875" style="529" customWidth="1"/>
    <col min="14602" max="14602" width="12.140625" style="529" bestFit="1" customWidth="1"/>
    <col min="14603" max="14603" width="9.140625" style="529" customWidth="1"/>
    <col min="14604" max="14604" width="11.5703125" style="529" customWidth="1"/>
    <col min="14605" max="14605" width="11.7109375" style="529" customWidth="1"/>
    <col min="14606" max="14606" width="10.28515625" style="529" customWidth="1"/>
    <col min="14607" max="14607" width="11.5703125" style="529" customWidth="1"/>
    <col min="14608" max="14608" width="14.28515625" style="529" customWidth="1"/>
    <col min="14609" max="14609" width="10.5703125" style="529" customWidth="1"/>
    <col min="14610" max="14610" width="13.5703125" style="529" customWidth="1"/>
    <col min="14611" max="14848" width="9.140625" style="529"/>
    <col min="14849" max="14850" width="6.140625" style="529" customWidth="1"/>
    <col min="14851" max="14851" width="57.42578125" style="529" customWidth="1"/>
    <col min="14852" max="14852" width="14.5703125" style="529" customWidth="1"/>
    <col min="14853" max="14853" width="9.140625" style="529" customWidth="1"/>
    <col min="14854" max="14854" width="13.140625" style="529" customWidth="1"/>
    <col min="14855" max="14855" width="12.42578125" style="529" customWidth="1"/>
    <col min="14856" max="14856" width="8.5703125" style="529" customWidth="1"/>
    <col min="14857" max="14857" width="12.85546875" style="529" customWidth="1"/>
    <col min="14858" max="14858" width="12.140625" style="529" bestFit="1" customWidth="1"/>
    <col min="14859" max="14859" width="9.140625" style="529" customWidth="1"/>
    <col min="14860" max="14860" width="11.5703125" style="529" customWidth="1"/>
    <col min="14861" max="14861" width="11.7109375" style="529" customWidth="1"/>
    <col min="14862" max="14862" width="10.28515625" style="529" customWidth="1"/>
    <col min="14863" max="14863" width="11.5703125" style="529" customWidth="1"/>
    <col min="14864" max="14864" width="14.28515625" style="529" customWidth="1"/>
    <col min="14865" max="14865" width="10.5703125" style="529" customWidth="1"/>
    <col min="14866" max="14866" width="13.5703125" style="529" customWidth="1"/>
    <col min="14867" max="15104" width="9.140625" style="529"/>
    <col min="15105" max="15106" width="6.140625" style="529" customWidth="1"/>
    <col min="15107" max="15107" width="57.42578125" style="529" customWidth="1"/>
    <col min="15108" max="15108" width="14.5703125" style="529" customWidth="1"/>
    <col min="15109" max="15109" width="9.140625" style="529" customWidth="1"/>
    <col min="15110" max="15110" width="13.140625" style="529" customWidth="1"/>
    <col min="15111" max="15111" width="12.42578125" style="529" customWidth="1"/>
    <col min="15112" max="15112" width="8.5703125" style="529" customWidth="1"/>
    <col min="15113" max="15113" width="12.85546875" style="529" customWidth="1"/>
    <col min="15114" max="15114" width="12.140625" style="529" bestFit="1" customWidth="1"/>
    <col min="15115" max="15115" width="9.140625" style="529" customWidth="1"/>
    <col min="15116" max="15116" width="11.5703125" style="529" customWidth="1"/>
    <col min="15117" max="15117" width="11.7109375" style="529" customWidth="1"/>
    <col min="15118" max="15118" width="10.28515625" style="529" customWidth="1"/>
    <col min="15119" max="15119" width="11.5703125" style="529" customWidth="1"/>
    <col min="15120" max="15120" width="14.28515625" style="529" customWidth="1"/>
    <col min="15121" max="15121" width="10.5703125" style="529" customWidth="1"/>
    <col min="15122" max="15122" width="13.5703125" style="529" customWidth="1"/>
    <col min="15123" max="15360" width="9.140625" style="529"/>
    <col min="15361" max="15362" width="6.140625" style="529" customWidth="1"/>
    <col min="15363" max="15363" width="57.42578125" style="529" customWidth="1"/>
    <col min="15364" max="15364" width="14.5703125" style="529" customWidth="1"/>
    <col min="15365" max="15365" width="9.140625" style="529" customWidth="1"/>
    <col min="15366" max="15366" width="13.140625" style="529" customWidth="1"/>
    <col min="15367" max="15367" width="12.42578125" style="529" customWidth="1"/>
    <col min="15368" max="15368" width="8.5703125" style="529" customWidth="1"/>
    <col min="15369" max="15369" width="12.85546875" style="529" customWidth="1"/>
    <col min="15370" max="15370" width="12.140625" style="529" bestFit="1" customWidth="1"/>
    <col min="15371" max="15371" width="9.140625" style="529" customWidth="1"/>
    <col min="15372" max="15372" width="11.5703125" style="529" customWidth="1"/>
    <col min="15373" max="15373" width="11.7109375" style="529" customWidth="1"/>
    <col min="15374" max="15374" width="10.28515625" style="529" customWidth="1"/>
    <col min="15375" max="15375" width="11.5703125" style="529" customWidth="1"/>
    <col min="15376" max="15376" width="14.28515625" style="529" customWidth="1"/>
    <col min="15377" max="15377" width="10.5703125" style="529" customWidth="1"/>
    <col min="15378" max="15378" width="13.5703125" style="529" customWidth="1"/>
    <col min="15379" max="15616" width="9.140625" style="529"/>
    <col min="15617" max="15618" width="6.140625" style="529" customWidth="1"/>
    <col min="15619" max="15619" width="57.42578125" style="529" customWidth="1"/>
    <col min="15620" max="15620" width="14.5703125" style="529" customWidth="1"/>
    <col min="15621" max="15621" width="9.140625" style="529" customWidth="1"/>
    <col min="15622" max="15622" width="13.140625" style="529" customWidth="1"/>
    <col min="15623" max="15623" width="12.42578125" style="529" customWidth="1"/>
    <col min="15624" max="15624" width="8.5703125" style="529" customWidth="1"/>
    <col min="15625" max="15625" width="12.85546875" style="529" customWidth="1"/>
    <col min="15626" max="15626" width="12.140625" style="529" bestFit="1" customWidth="1"/>
    <col min="15627" max="15627" width="9.140625" style="529" customWidth="1"/>
    <col min="15628" max="15628" width="11.5703125" style="529" customWidth="1"/>
    <col min="15629" max="15629" width="11.7109375" style="529" customWidth="1"/>
    <col min="15630" max="15630" width="10.28515625" style="529" customWidth="1"/>
    <col min="15631" max="15631" width="11.5703125" style="529" customWidth="1"/>
    <col min="15632" max="15632" width="14.28515625" style="529" customWidth="1"/>
    <col min="15633" max="15633" width="10.5703125" style="529" customWidth="1"/>
    <col min="15634" max="15634" width="13.5703125" style="529" customWidth="1"/>
    <col min="15635" max="15872" width="9.140625" style="529"/>
    <col min="15873" max="15874" width="6.140625" style="529" customWidth="1"/>
    <col min="15875" max="15875" width="57.42578125" style="529" customWidth="1"/>
    <col min="15876" max="15876" width="14.5703125" style="529" customWidth="1"/>
    <col min="15877" max="15877" width="9.140625" style="529" customWidth="1"/>
    <col min="15878" max="15878" width="13.140625" style="529" customWidth="1"/>
    <col min="15879" max="15879" width="12.42578125" style="529" customWidth="1"/>
    <col min="15880" max="15880" width="8.5703125" style="529" customWidth="1"/>
    <col min="15881" max="15881" width="12.85546875" style="529" customWidth="1"/>
    <col min="15882" max="15882" width="12.140625" style="529" bestFit="1" customWidth="1"/>
    <col min="15883" max="15883" width="9.140625" style="529" customWidth="1"/>
    <col min="15884" max="15884" width="11.5703125" style="529" customWidth="1"/>
    <col min="15885" max="15885" width="11.7109375" style="529" customWidth="1"/>
    <col min="15886" max="15886" width="10.28515625" style="529" customWidth="1"/>
    <col min="15887" max="15887" width="11.5703125" style="529" customWidth="1"/>
    <col min="15888" max="15888" width="14.28515625" style="529" customWidth="1"/>
    <col min="15889" max="15889" width="10.5703125" style="529" customWidth="1"/>
    <col min="15890" max="15890" width="13.5703125" style="529" customWidth="1"/>
    <col min="15891" max="16128" width="9.140625" style="529"/>
    <col min="16129" max="16130" width="6.140625" style="529" customWidth="1"/>
    <col min="16131" max="16131" width="57.42578125" style="529" customWidth="1"/>
    <col min="16132" max="16132" width="14.5703125" style="529" customWidth="1"/>
    <col min="16133" max="16133" width="9.140625" style="529" customWidth="1"/>
    <col min="16134" max="16134" width="13.140625" style="529" customWidth="1"/>
    <col min="16135" max="16135" width="12.42578125" style="529" customWidth="1"/>
    <col min="16136" max="16136" width="8.5703125" style="529" customWidth="1"/>
    <col min="16137" max="16137" width="12.85546875" style="529" customWidth="1"/>
    <col min="16138" max="16138" width="12.140625" style="529" bestFit="1" customWidth="1"/>
    <col min="16139" max="16139" width="9.140625" style="529" customWidth="1"/>
    <col min="16140" max="16140" width="11.5703125" style="529" customWidth="1"/>
    <col min="16141" max="16141" width="11.7109375" style="529" customWidth="1"/>
    <col min="16142" max="16142" width="10.28515625" style="529" customWidth="1"/>
    <col min="16143" max="16143" width="11.5703125" style="529" customWidth="1"/>
    <col min="16144" max="16144" width="14.28515625" style="529" customWidth="1"/>
    <col min="16145" max="16145" width="10.5703125" style="529" customWidth="1"/>
    <col min="16146" max="16146" width="13.5703125" style="529" customWidth="1"/>
    <col min="16147" max="16384" width="9.140625" style="529"/>
  </cols>
  <sheetData>
    <row r="1" spans="1:18" ht="12.75" customHeight="1" x14ac:dyDescent="0.2">
      <c r="A1" s="527"/>
      <c r="B1" s="527"/>
      <c r="C1" s="527"/>
      <c r="D1" s="527"/>
      <c r="E1" s="527"/>
      <c r="F1" s="527"/>
      <c r="G1" s="528"/>
      <c r="H1" s="528"/>
      <c r="I1" s="528"/>
    </row>
    <row r="2" spans="1:18" ht="16.5" thickBot="1" x14ac:dyDescent="0.3">
      <c r="A2" s="948"/>
      <c r="B2" s="948"/>
      <c r="C2" s="948"/>
      <c r="D2" s="952"/>
      <c r="E2" s="952"/>
      <c r="F2" s="559"/>
      <c r="G2" s="531"/>
      <c r="H2" s="531"/>
      <c r="I2" s="531"/>
      <c r="P2" s="532"/>
      <c r="Q2" s="532"/>
      <c r="R2" s="532" t="s">
        <v>514</v>
      </c>
    </row>
    <row r="3" spans="1:18" ht="30" customHeight="1" x14ac:dyDescent="0.2">
      <c r="A3" s="953" t="s">
        <v>20</v>
      </c>
      <c r="B3" s="955"/>
      <c r="C3" s="957" t="s">
        <v>15</v>
      </c>
      <c r="D3" s="951" t="s">
        <v>959</v>
      </c>
      <c r="E3" s="951"/>
      <c r="F3" s="951"/>
      <c r="G3" s="951" t="s">
        <v>75</v>
      </c>
      <c r="H3" s="951"/>
      <c r="I3" s="951"/>
      <c r="J3" s="951" t="s">
        <v>960</v>
      </c>
      <c r="K3" s="951"/>
      <c r="L3" s="951"/>
      <c r="M3" s="951" t="s">
        <v>961</v>
      </c>
      <c r="N3" s="951"/>
      <c r="O3" s="951"/>
      <c r="P3" s="951" t="s">
        <v>13</v>
      </c>
      <c r="Q3" s="951"/>
      <c r="R3" s="951"/>
    </row>
    <row r="4" spans="1:18" ht="27" customHeight="1" thickBot="1" x14ac:dyDescent="0.25">
      <c r="A4" s="954"/>
      <c r="B4" s="956"/>
      <c r="C4" s="957"/>
      <c r="D4" s="560" t="s">
        <v>962</v>
      </c>
      <c r="E4" s="561" t="s">
        <v>963</v>
      </c>
      <c r="F4" s="560" t="s">
        <v>1621</v>
      </c>
      <c r="G4" s="560" t="s">
        <v>962</v>
      </c>
      <c r="H4" s="561" t="s">
        <v>963</v>
      </c>
      <c r="I4" s="560" t="s">
        <v>1621</v>
      </c>
      <c r="J4" s="560" t="s">
        <v>962</v>
      </c>
      <c r="K4" s="561" t="s">
        <v>963</v>
      </c>
      <c r="L4" s="560" t="s">
        <v>1621</v>
      </c>
      <c r="M4" s="560" t="s">
        <v>962</v>
      </c>
      <c r="N4" s="561" t="s">
        <v>963</v>
      </c>
      <c r="O4" s="560" t="s">
        <v>1621</v>
      </c>
      <c r="P4" s="560" t="s">
        <v>962</v>
      </c>
      <c r="Q4" s="561" t="s">
        <v>963</v>
      </c>
      <c r="R4" s="560" t="s">
        <v>1621</v>
      </c>
    </row>
    <row r="5" spans="1:18" ht="15" x14ac:dyDescent="0.2">
      <c r="A5" s="562" t="s">
        <v>2</v>
      </c>
      <c r="B5" s="563" t="s">
        <v>357</v>
      </c>
      <c r="C5" s="564" t="s">
        <v>964</v>
      </c>
      <c r="D5" s="565">
        <v>482304120</v>
      </c>
      <c r="E5" s="565"/>
      <c r="F5" s="565">
        <v>496209430</v>
      </c>
      <c r="G5" s="566"/>
      <c r="H5" s="566"/>
      <c r="I5" s="566"/>
      <c r="J5" s="566"/>
      <c r="K5" s="566"/>
      <c r="L5" s="566"/>
      <c r="M5" s="567"/>
      <c r="N5" s="566"/>
      <c r="O5" s="567"/>
      <c r="P5" s="568">
        <f>SUM(D5+G5+J5+M5)</f>
        <v>482304120</v>
      </c>
      <c r="Q5" s="568"/>
      <c r="R5" s="568">
        <f>SUM(F5+I5+L5+O5)</f>
        <v>496209430</v>
      </c>
    </row>
    <row r="6" spans="1:18" ht="25.5" x14ac:dyDescent="0.2">
      <c r="A6" s="569" t="s">
        <v>4</v>
      </c>
      <c r="B6" s="563" t="s">
        <v>965</v>
      </c>
      <c r="C6" s="564" t="s">
        <v>966</v>
      </c>
      <c r="D6" s="566">
        <v>38683089</v>
      </c>
      <c r="E6" s="566"/>
      <c r="F6" s="566">
        <v>31737541</v>
      </c>
      <c r="G6" s="566">
        <v>2254202</v>
      </c>
      <c r="H6" s="566"/>
      <c r="I6" s="566">
        <v>2094437</v>
      </c>
      <c r="J6" s="566">
        <v>40566899</v>
      </c>
      <c r="K6" s="566"/>
      <c r="L6" s="566">
        <v>43249330</v>
      </c>
      <c r="M6" s="567">
        <v>7775700</v>
      </c>
      <c r="N6" s="566"/>
      <c r="O6" s="567">
        <v>9750427</v>
      </c>
      <c r="P6" s="568">
        <f t="shared" ref="P6:Q34" si="0">SUM(D6+G6+J6+M6)</f>
        <v>89279890</v>
      </c>
      <c r="Q6" s="568"/>
      <c r="R6" s="568">
        <f t="shared" ref="R6:R34" si="1">SUM(F6+I6+L6+O6)</f>
        <v>86831735</v>
      </c>
    </row>
    <row r="7" spans="1:18" ht="15" x14ac:dyDescent="0.2">
      <c r="A7" s="569" t="s">
        <v>5</v>
      </c>
      <c r="B7" s="563" t="s">
        <v>967</v>
      </c>
      <c r="C7" s="564" t="s">
        <v>968</v>
      </c>
      <c r="D7" s="566">
        <v>16065810</v>
      </c>
      <c r="E7" s="566"/>
      <c r="F7" s="566">
        <v>11126430</v>
      </c>
      <c r="G7" s="566"/>
      <c r="H7" s="566"/>
      <c r="I7" s="566"/>
      <c r="J7" s="566"/>
      <c r="K7" s="566"/>
      <c r="L7" s="566"/>
      <c r="M7" s="567"/>
      <c r="N7" s="566"/>
      <c r="O7" s="567"/>
      <c r="P7" s="568">
        <f t="shared" si="0"/>
        <v>16065810</v>
      </c>
      <c r="Q7" s="568"/>
      <c r="R7" s="568">
        <f t="shared" si="1"/>
        <v>11126430</v>
      </c>
    </row>
    <row r="8" spans="1:18" ht="15.75" x14ac:dyDescent="0.2">
      <c r="A8" s="569" t="s">
        <v>6</v>
      </c>
      <c r="B8" s="570" t="s">
        <v>34</v>
      </c>
      <c r="C8" s="571" t="s">
        <v>969</v>
      </c>
      <c r="D8" s="572">
        <f>SUM(D5:D7)</f>
        <v>537053019</v>
      </c>
      <c r="E8" s="572"/>
      <c r="F8" s="572">
        <f>SUM(F5:F7)</f>
        <v>539073401</v>
      </c>
      <c r="G8" s="572">
        <f>SUM(G5:G7)</f>
        <v>2254202</v>
      </c>
      <c r="H8" s="572"/>
      <c r="I8" s="572">
        <f>SUM(I5:I7)</f>
        <v>2094437</v>
      </c>
      <c r="J8" s="572">
        <f>SUM(J5:J7)</f>
        <v>40566899</v>
      </c>
      <c r="K8" s="572"/>
      <c r="L8" s="572">
        <f>SUM(L5:L7)</f>
        <v>43249330</v>
      </c>
      <c r="M8" s="573">
        <f>SUM(M5:M7)</f>
        <v>7775700</v>
      </c>
      <c r="N8" s="572"/>
      <c r="O8" s="573">
        <f>SUM(O5:O7)</f>
        <v>9750427</v>
      </c>
      <c r="P8" s="574">
        <f t="shared" si="0"/>
        <v>587649820</v>
      </c>
      <c r="Q8" s="574"/>
      <c r="R8" s="574">
        <f t="shared" si="1"/>
        <v>594167595</v>
      </c>
    </row>
    <row r="9" spans="1:18" ht="18" customHeight="1" x14ac:dyDescent="0.2">
      <c r="A9" s="569" t="s">
        <v>22</v>
      </c>
      <c r="B9" s="563" t="s">
        <v>386</v>
      </c>
      <c r="C9" s="564" t="s">
        <v>970</v>
      </c>
      <c r="D9" s="566">
        <v>356493244</v>
      </c>
      <c r="E9" s="566"/>
      <c r="F9" s="566">
        <v>386012122</v>
      </c>
      <c r="G9" s="566">
        <v>124848420</v>
      </c>
      <c r="H9" s="566"/>
      <c r="I9" s="566">
        <v>117649640</v>
      </c>
      <c r="J9" s="566">
        <v>111345842</v>
      </c>
      <c r="K9" s="566"/>
      <c r="L9" s="566">
        <v>109332225</v>
      </c>
      <c r="M9" s="567">
        <v>24587872</v>
      </c>
      <c r="N9" s="566"/>
      <c r="O9" s="567">
        <v>28770583</v>
      </c>
      <c r="P9" s="568">
        <f t="shared" si="0"/>
        <v>617275378</v>
      </c>
      <c r="Q9" s="568"/>
      <c r="R9" s="568">
        <f t="shared" si="1"/>
        <v>641764570</v>
      </c>
    </row>
    <row r="10" spans="1:18" ht="17.25" customHeight="1" x14ac:dyDescent="0.2">
      <c r="A10" s="569" t="s">
        <v>257</v>
      </c>
      <c r="B10" s="563" t="s">
        <v>398</v>
      </c>
      <c r="C10" s="564" t="s">
        <v>971</v>
      </c>
      <c r="D10" s="566">
        <v>50860207</v>
      </c>
      <c r="E10" s="566"/>
      <c r="F10" s="566">
        <v>65605851</v>
      </c>
      <c r="G10" s="566">
        <v>269326</v>
      </c>
      <c r="H10" s="566"/>
      <c r="I10" s="566">
        <v>17521169</v>
      </c>
      <c r="J10" s="566"/>
      <c r="K10" s="566"/>
      <c r="L10" s="566"/>
      <c r="M10" s="567">
        <v>3030000</v>
      </c>
      <c r="N10" s="566"/>
      <c r="O10" s="567">
        <v>9159790</v>
      </c>
      <c r="P10" s="568">
        <f t="shared" si="0"/>
        <v>54159533</v>
      </c>
      <c r="Q10" s="568"/>
      <c r="R10" s="568">
        <f t="shared" si="1"/>
        <v>92286810</v>
      </c>
    </row>
    <row r="11" spans="1:18" ht="17.25" customHeight="1" x14ac:dyDescent="0.2">
      <c r="A11" s="569" t="s">
        <v>18</v>
      </c>
      <c r="B11" s="563" t="s">
        <v>411</v>
      </c>
      <c r="C11" s="564" t="s">
        <v>972</v>
      </c>
      <c r="D11" s="566">
        <v>24152285</v>
      </c>
      <c r="E11" s="566"/>
      <c r="F11" s="566">
        <v>36669410</v>
      </c>
      <c r="G11" s="566"/>
      <c r="H11" s="566"/>
      <c r="I11" s="566"/>
      <c r="J11" s="566"/>
      <c r="K11" s="566"/>
      <c r="L11" s="566"/>
      <c r="M11" s="567"/>
      <c r="N11" s="566"/>
      <c r="O11" s="567">
        <v>1826259</v>
      </c>
      <c r="P11" s="568">
        <f t="shared" ref="P11" si="2">SUM(D11+G11+J11+M11)</f>
        <v>24152285</v>
      </c>
      <c r="Q11" s="568"/>
      <c r="R11" s="568">
        <f t="shared" ref="R11" si="3">SUM(F11+I11+L11+O11)</f>
        <v>38495669</v>
      </c>
    </row>
    <row r="12" spans="1:18" ht="15" x14ac:dyDescent="0.2">
      <c r="A12" s="569" t="s">
        <v>155</v>
      </c>
      <c r="B12" s="563" t="s">
        <v>424</v>
      </c>
      <c r="C12" s="564" t="s">
        <v>973</v>
      </c>
      <c r="D12" s="566">
        <v>77416177</v>
      </c>
      <c r="E12" s="566"/>
      <c r="F12" s="566">
        <v>133915420</v>
      </c>
      <c r="G12" s="566">
        <v>26649</v>
      </c>
      <c r="H12" s="566"/>
      <c r="I12" s="566">
        <v>160070</v>
      </c>
      <c r="J12" s="566">
        <v>139179</v>
      </c>
      <c r="K12" s="566"/>
      <c r="L12" s="566">
        <v>253151</v>
      </c>
      <c r="M12" s="567">
        <v>123177</v>
      </c>
      <c r="N12" s="566"/>
      <c r="O12" s="567">
        <v>1878329</v>
      </c>
      <c r="P12" s="568">
        <f t="shared" si="0"/>
        <v>77705182</v>
      </c>
      <c r="Q12" s="568"/>
      <c r="R12" s="568">
        <f t="shared" si="1"/>
        <v>136206970</v>
      </c>
    </row>
    <row r="13" spans="1:18" ht="15.75" x14ac:dyDescent="0.2">
      <c r="A13" s="569" t="s">
        <v>35</v>
      </c>
      <c r="B13" s="570" t="s">
        <v>686</v>
      </c>
      <c r="C13" s="571" t="s">
        <v>974</v>
      </c>
      <c r="D13" s="572">
        <f>SUM(D9:D12)</f>
        <v>508921913</v>
      </c>
      <c r="E13" s="572"/>
      <c r="F13" s="572">
        <f>SUM(F9:F12)</f>
        <v>622202803</v>
      </c>
      <c r="G13" s="572">
        <f>SUM(G9:G12)</f>
        <v>125144395</v>
      </c>
      <c r="H13" s="572"/>
      <c r="I13" s="572">
        <f>SUM(I9:I12)</f>
        <v>135330879</v>
      </c>
      <c r="J13" s="572">
        <f>SUM(J9:J12)</f>
        <v>111485021</v>
      </c>
      <c r="K13" s="572"/>
      <c r="L13" s="572">
        <f>SUM(L9:L12)</f>
        <v>109585376</v>
      </c>
      <c r="M13" s="573">
        <f>SUM(M9:M12)</f>
        <v>27741049</v>
      </c>
      <c r="N13" s="572"/>
      <c r="O13" s="573">
        <f>SUM(O9:O12)</f>
        <v>41634961</v>
      </c>
      <c r="P13" s="574">
        <f t="shared" si="0"/>
        <v>773292378</v>
      </c>
      <c r="Q13" s="574"/>
      <c r="R13" s="574">
        <f t="shared" si="1"/>
        <v>908754019</v>
      </c>
    </row>
    <row r="14" spans="1:18" ht="15" x14ac:dyDescent="0.2">
      <c r="A14" s="569" t="s">
        <v>281</v>
      </c>
      <c r="B14" s="563">
        <v>10</v>
      </c>
      <c r="C14" s="564" t="s">
        <v>975</v>
      </c>
      <c r="D14" s="566">
        <v>10653913</v>
      </c>
      <c r="E14" s="566"/>
      <c r="F14" s="566">
        <v>6595612</v>
      </c>
      <c r="G14" s="566">
        <v>2426106</v>
      </c>
      <c r="H14" s="566"/>
      <c r="I14" s="566">
        <v>2645792</v>
      </c>
      <c r="J14" s="566">
        <v>35709976</v>
      </c>
      <c r="K14" s="566"/>
      <c r="L14" s="566">
        <v>36311973</v>
      </c>
      <c r="M14" s="567">
        <v>2749463</v>
      </c>
      <c r="N14" s="566"/>
      <c r="O14" s="567">
        <v>2011795</v>
      </c>
      <c r="P14" s="568">
        <f t="shared" si="0"/>
        <v>51539458</v>
      </c>
      <c r="Q14" s="568"/>
      <c r="R14" s="568">
        <f t="shared" si="1"/>
        <v>47565172</v>
      </c>
    </row>
    <row r="15" spans="1:18" ht="15" x14ac:dyDescent="0.2">
      <c r="A15" s="569" t="s">
        <v>282</v>
      </c>
      <c r="B15" s="563">
        <v>11</v>
      </c>
      <c r="C15" s="564" t="s">
        <v>976</v>
      </c>
      <c r="D15" s="566">
        <v>228378769</v>
      </c>
      <c r="E15" s="566"/>
      <c r="F15" s="566">
        <v>228457286</v>
      </c>
      <c r="G15" s="566">
        <v>12751002</v>
      </c>
      <c r="H15" s="566"/>
      <c r="I15" s="566">
        <v>12544764</v>
      </c>
      <c r="J15" s="566">
        <v>7912711</v>
      </c>
      <c r="K15" s="566"/>
      <c r="L15" s="566">
        <v>7664520</v>
      </c>
      <c r="M15" s="567">
        <v>12769827</v>
      </c>
      <c r="N15" s="566"/>
      <c r="O15" s="567">
        <v>14064484</v>
      </c>
      <c r="P15" s="568">
        <f t="shared" si="0"/>
        <v>261812309</v>
      </c>
      <c r="Q15" s="568"/>
      <c r="R15" s="568">
        <f t="shared" si="1"/>
        <v>262731054</v>
      </c>
    </row>
    <row r="16" spans="1:18" ht="15" x14ac:dyDescent="0.2">
      <c r="A16" s="569" t="s">
        <v>219</v>
      </c>
      <c r="B16" s="563">
        <v>13</v>
      </c>
      <c r="C16" s="564" t="s">
        <v>977</v>
      </c>
      <c r="D16" s="566">
        <v>1990350</v>
      </c>
      <c r="E16" s="566"/>
      <c r="F16" s="566">
        <v>2455630</v>
      </c>
      <c r="G16" s="566">
        <v>89719</v>
      </c>
      <c r="H16" s="566"/>
      <c r="I16" s="566">
        <v>180838</v>
      </c>
      <c r="J16" s="566"/>
      <c r="K16" s="566"/>
      <c r="L16" s="566"/>
      <c r="M16" s="567"/>
      <c r="N16" s="566"/>
      <c r="O16" s="567"/>
      <c r="P16" s="568">
        <f t="shared" si="0"/>
        <v>2080069</v>
      </c>
      <c r="Q16" s="568"/>
      <c r="R16" s="568">
        <f t="shared" si="1"/>
        <v>2636468</v>
      </c>
    </row>
    <row r="17" spans="1:18" ht="15.75" x14ac:dyDescent="0.2">
      <c r="A17" s="569" t="s">
        <v>297</v>
      </c>
      <c r="B17" s="570" t="s">
        <v>692</v>
      </c>
      <c r="C17" s="571" t="s">
        <v>978</v>
      </c>
      <c r="D17" s="572">
        <f>SUM(D14:D16)</f>
        <v>241023032</v>
      </c>
      <c r="E17" s="572"/>
      <c r="F17" s="572">
        <f>SUM(F14:F16)</f>
        <v>237508528</v>
      </c>
      <c r="G17" s="572">
        <f>SUM(G14:G16)</f>
        <v>15266827</v>
      </c>
      <c r="H17" s="572"/>
      <c r="I17" s="572">
        <f>SUM(I14:I16)</f>
        <v>15371394</v>
      </c>
      <c r="J17" s="572">
        <f>SUM(J14:J16)</f>
        <v>43622687</v>
      </c>
      <c r="K17" s="572"/>
      <c r="L17" s="572">
        <f>SUM(L14:L16)</f>
        <v>43976493</v>
      </c>
      <c r="M17" s="573">
        <f>SUM(M14:M16)</f>
        <v>15519290</v>
      </c>
      <c r="N17" s="572"/>
      <c r="O17" s="573">
        <f>SUM(O14:O16)</f>
        <v>16076279</v>
      </c>
      <c r="P17" s="574">
        <f t="shared" si="0"/>
        <v>315431836</v>
      </c>
      <c r="Q17" s="574"/>
      <c r="R17" s="574">
        <f t="shared" si="1"/>
        <v>312932694</v>
      </c>
    </row>
    <row r="18" spans="1:18" ht="15" x14ac:dyDescent="0.2">
      <c r="A18" s="569" t="s">
        <v>298</v>
      </c>
      <c r="B18" s="563">
        <v>14</v>
      </c>
      <c r="C18" s="564" t="s">
        <v>979</v>
      </c>
      <c r="D18" s="566">
        <v>50092445</v>
      </c>
      <c r="E18" s="566"/>
      <c r="F18" s="566">
        <v>22977109</v>
      </c>
      <c r="G18" s="566">
        <v>75333212</v>
      </c>
      <c r="H18" s="566"/>
      <c r="I18" s="566">
        <v>84509735</v>
      </c>
      <c r="J18" s="566">
        <v>75712809</v>
      </c>
      <c r="K18" s="566"/>
      <c r="L18" s="566">
        <v>77686871</v>
      </c>
      <c r="M18" s="567">
        <v>9470101</v>
      </c>
      <c r="N18" s="566"/>
      <c r="O18" s="567">
        <v>11702691</v>
      </c>
      <c r="P18" s="568">
        <f t="shared" si="0"/>
        <v>210608567</v>
      </c>
      <c r="Q18" s="568"/>
      <c r="R18" s="568">
        <f t="shared" si="1"/>
        <v>196876406</v>
      </c>
    </row>
    <row r="19" spans="1:18" ht="15" x14ac:dyDescent="0.2">
      <c r="A19" s="569" t="s">
        <v>763</v>
      </c>
      <c r="B19" s="563">
        <v>15</v>
      </c>
      <c r="C19" s="564" t="s">
        <v>980</v>
      </c>
      <c r="D19" s="566">
        <v>27494686</v>
      </c>
      <c r="E19" s="566"/>
      <c r="F19" s="566">
        <v>30430259</v>
      </c>
      <c r="G19" s="566">
        <v>8214907</v>
      </c>
      <c r="H19" s="566"/>
      <c r="I19" s="566">
        <v>11054348</v>
      </c>
      <c r="J19" s="566">
        <v>8126764</v>
      </c>
      <c r="K19" s="566"/>
      <c r="L19" s="566">
        <v>7063864</v>
      </c>
      <c r="M19" s="567">
        <v>1461549</v>
      </c>
      <c r="N19" s="566"/>
      <c r="O19" s="567">
        <v>3228438</v>
      </c>
      <c r="P19" s="568">
        <f t="shared" si="0"/>
        <v>45297906</v>
      </c>
      <c r="Q19" s="568"/>
      <c r="R19" s="568">
        <f t="shared" si="1"/>
        <v>51776909</v>
      </c>
    </row>
    <row r="20" spans="1:18" ht="15" x14ac:dyDescent="0.2">
      <c r="A20" s="569" t="s">
        <v>764</v>
      </c>
      <c r="B20" s="563">
        <v>16</v>
      </c>
      <c r="C20" s="564" t="s">
        <v>981</v>
      </c>
      <c r="D20" s="566">
        <v>18117139</v>
      </c>
      <c r="E20" s="566"/>
      <c r="F20" s="566">
        <v>10810992</v>
      </c>
      <c r="G20" s="566">
        <v>18654921</v>
      </c>
      <c r="H20" s="566"/>
      <c r="I20" s="566">
        <v>18837369</v>
      </c>
      <c r="J20" s="566">
        <v>19768585</v>
      </c>
      <c r="K20" s="566"/>
      <c r="L20" s="566">
        <v>17833032</v>
      </c>
      <c r="M20" s="567">
        <v>2426375</v>
      </c>
      <c r="N20" s="566"/>
      <c r="O20" s="567">
        <v>3157468</v>
      </c>
      <c r="P20" s="568">
        <f t="shared" si="0"/>
        <v>58967020</v>
      </c>
      <c r="Q20" s="568"/>
      <c r="R20" s="568">
        <f t="shared" si="1"/>
        <v>50638861</v>
      </c>
    </row>
    <row r="21" spans="1:18" ht="15.75" x14ac:dyDescent="0.2">
      <c r="A21" s="569" t="s">
        <v>765</v>
      </c>
      <c r="B21" s="570" t="s">
        <v>982</v>
      </c>
      <c r="C21" s="571" t="s">
        <v>983</v>
      </c>
      <c r="D21" s="572">
        <f>SUM(D18:D20)</f>
        <v>95704270</v>
      </c>
      <c r="E21" s="572"/>
      <c r="F21" s="572">
        <f>SUM(F18:F20)</f>
        <v>64218360</v>
      </c>
      <c r="G21" s="572">
        <f>SUM(G18:G20)</f>
        <v>102203040</v>
      </c>
      <c r="H21" s="572"/>
      <c r="I21" s="572">
        <f>SUM(I18:I20)</f>
        <v>114401452</v>
      </c>
      <c r="J21" s="572">
        <f>SUM(J18:J20)</f>
        <v>103608158</v>
      </c>
      <c r="K21" s="572"/>
      <c r="L21" s="572">
        <f>SUM(L18:L20)</f>
        <v>102583767</v>
      </c>
      <c r="M21" s="573">
        <f>SUM(M18:M20)</f>
        <v>13358025</v>
      </c>
      <c r="N21" s="572"/>
      <c r="O21" s="573">
        <f>SUM(O18:O20)</f>
        <v>18088597</v>
      </c>
      <c r="P21" s="574">
        <f t="shared" si="0"/>
        <v>314873493</v>
      </c>
      <c r="Q21" s="572"/>
      <c r="R21" s="574">
        <f t="shared" si="1"/>
        <v>299292176</v>
      </c>
    </row>
    <row r="22" spans="1:18" ht="15.75" x14ac:dyDescent="0.2">
      <c r="A22" s="569" t="s">
        <v>766</v>
      </c>
      <c r="B22" s="570" t="s">
        <v>984</v>
      </c>
      <c r="C22" s="571" t="s">
        <v>985</v>
      </c>
      <c r="D22" s="572">
        <v>152022748</v>
      </c>
      <c r="E22" s="572"/>
      <c r="F22" s="572">
        <v>154003343</v>
      </c>
      <c r="G22" s="572">
        <v>2319100</v>
      </c>
      <c r="H22" s="572"/>
      <c r="I22" s="572">
        <v>1637897</v>
      </c>
      <c r="J22" s="572">
        <v>1606393</v>
      </c>
      <c r="K22" s="572"/>
      <c r="L22" s="572">
        <v>1081585</v>
      </c>
      <c r="M22" s="573">
        <v>1384007</v>
      </c>
      <c r="N22" s="572"/>
      <c r="O22" s="573">
        <v>2661383</v>
      </c>
      <c r="P22" s="574">
        <f t="shared" si="0"/>
        <v>157332248</v>
      </c>
      <c r="Q22" s="572"/>
      <c r="R22" s="574">
        <f t="shared" si="1"/>
        <v>159384208</v>
      </c>
    </row>
    <row r="23" spans="1:18" ht="15.75" x14ac:dyDescent="0.2">
      <c r="A23" s="569" t="s">
        <v>804</v>
      </c>
      <c r="B23" s="570" t="s">
        <v>986</v>
      </c>
      <c r="C23" s="571" t="s">
        <v>987</v>
      </c>
      <c r="D23" s="572">
        <v>596710969</v>
      </c>
      <c r="E23" s="572"/>
      <c r="F23" s="572">
        <v>599503539</v>
      </c>
      <c r="G23" s="572">
        <v>6532742</v>
      </c>
      <c r="H23" s="572"/>
      <c r="I23" s="572">
        <v>9789587</v>
      </c>
      <c r="J23" s="572">
        <v>6290745</v>
      </c>
      <c r="K23" s="572"/>
      <c r="L23" s="572">
        <v>9147917</v>
      </c>
      <c r="M23" s="573">
        <v>8561086</v>
      </c>
      <c r="N23" s="572"/>
      <c r="O23" s="573">
        <v>8998960</v>
      </c>
      <c r="P23" s="574">
        <f t="shared" si="0"/>
        <v>618095542</v>
      </c>
      <c r="Q23" s="572"/>
      <c r="R23" s="574">
        <f t="shared" si="1"/>
        <v>627440003</v>
      </c>
    </row>
    <row r="24" spans="1:18" ht="15.75" x14ac:dyDescent="0.2">
      <c r="A24" s="569" t="s">
        <v>805</v>
      </c>
      <c r="B24" s="570" t="s">
        <v>988</v>
      </c>
      <c r="C24" s="571" t="s">
        <v>989</v>
      </c>
      <c r="D24" s="572">
        <f>D8+D13-D17-D21-D22-D23</f>
        <v>-39486087</v>
      </c>
      <c r="E24" s="572">
        <f t="shared" ref="E24:O24" si="4">E8+E13-E17-E21-E22-E23</f>
        <v>0</v>
      </c>
      <c r="F24" s="572">
        <f t="shared" si="4"/>
        <v>106042434</v>
      </c>
      <c r="G24" s="572">
        <f t="shared" si="4"/>
        <v>1076888</v>
      </c>
      <c r="H24" s="572">
        <f t="shared" si="4"/>
        <v>0</v>
      </c>
      <c r="I24" s="572">
        <f t="shared" si="4"/>
        <v>-3775014</v>
      </c>
      <c r="J24" s="572">
        <f t="shared" si="4"/>
        <v>-3076063</v>
      </c>
      <c r="K24" s="572">
        <f t="shared" si="4"/>
        <v>0</v>
      </c>
      <c r="L24" s="572">
        <f t="shared" si="4"/>
        <v>-3955056</v>
      </c>
      <c r="M24" s="572">
        <f t="shared" si="4"/>
        <v>-3305659</v>
      </c>
      <c r="N24" s="572">
        <f t="shared" si="4"/>
        <v>0</v>
      </c>
      <c r="O24" s="572">
        <f t="shared" si="4"/>
        <v>5560169</v>
      </c>
      <c r="P24" s="574">
        <f t="shared" si="0"/>
        <v>-44790921</v>
      </c>
      <c r="Q24" s="566"/>
      <c r="R24" s="574">
        <f t="shared" si="1"/>
        <v>103872533</v>
      </c>
    </row>
    <row r="25" spans="1:18" ht="15" x14ac:dyDescent="0.2">
      <c r="A25" s="569" t="s">
        <v>806</v>
      </c>
      <c r="B25" s="563">
        <v>17</v>
      </c>
      <c r="C25" s="564" t="s">
        <v>990</v>
      </c>
      <c r="D25" s="566">
        <v>88200</v>
      </c>
      <c r="E25" s="566"/>
      <c r="F25" s="566"/>
      <c r="G25" s="566"/>
      <c r="H25" s="566"/>
      <c r="I25" s="566"/>
      <c r="J25" s="566"/>
      <c r="K25" s="566"/>
      <c r="L25" s="566"/>
      <c r="M25" s="567"/>
      <c r="N25" s="566"/>
      <c r="O25" s="567"/>
      <c r="P25" s="568">
        <f t="shared" si="0"/>
        <v>88200</v>
      </c>
      <c r="Q25" s="566"/>
      <c r="R25" s="568">
        <f t="shared" si="1"/>
        <v>0</v>
      </c>
    </row>
    <row r="26" spans="1:18" ht="15" x14ac:dyDescent="0.2">
      <c r="A26" s="569" t="s">
        <v>810</v>
      </c>
      <c r="B26" s="680">
        <v>19</v>
      </c>
      <c r="C26" s="681" t="s">
        <v>1622</v>
      </c>
      <c r="D26" s="682">
        <v>4300000</v>
      </c>
      <c r="E26" s="682"/>
      <c r="F26" s="682"/>
      <c r="G26" s="682"/>
      <c r="H26" s="682"/>
      <c r="I26" s="682"/>
      <c r="J26" s="682"/>
      <c r="K26" s="682"/>
      <c r="L26" s="682"/>
      <c r="M26" s="683"/>
      <c r="N26" s="682"/>
      <c r="O26" s="683"/>
      <c r="P26" s="684">
        <f t="shared" si="0"/>
        <v>4300000</v>
      </c>
      <c r="Q26" s="682"/>
      <c r="R26" s="684"/>
    </row>
    <row r="27" spans="1:18" ht="25.5" x14ac:dyDescent="0.2">
      <c r="A27" s="569" t="s">
        <v>812</v>
      </c>
      <c r="B27" s="563">
        <v>20</v>
      </c>
      <c r="C27" s="564" t="s">
        <v>991</v>
      </c>
      <c r="D27" s="566">
        <v>1683</v>
      </c>
      <c r="E27" s="566"/>
      <c r="F27" s="566">
        <v>5550309</v>
      </c>
      <c r="G27" s="566">
        <v>68</v>
      </c>
      <c r="H27" s="566"/>
      <c r="I27" s="566">
        <v>2</v>
      </c>
      <c r="J27" s="566">
        <v>61</v>
      </c>
      <c r="K27" s="566"/>
      <c r="L27" s="566">
        <v>2</v>
      </c>
      <c r="M27" s="567">
        <v>128</v>
      </c>
      <c r="N27" s="566"/>
      <c r="O27" s="567">
        <v>15</v>
      </c>
      <c r="P27" s="568">
        <f t="shared" si="0"/>
        <v>1940</v>
      </c>
      <c r="Q27" s="566"/>
      <c r="R27" s="568">
        <f t="shared" si="1"/>
        <v>5550328</v>
      </c>
    </row>
    <row r="28" spans="1:18" ht="15" x14ac:dyDescent="0.2">
      <c r="A28" s="569" t="s">
        <v>813</v>
      </c>
      <c r="B28" s="563">
        <v>21</v>
      </c>
      <c r="C28" s="564" t="s">
        <v>992</v>
      </c>
      <c r="D28" s="566"/>
      <c r="E28" s="566"/>
      <c r="F28" s="566">
        <v>721617</v>
      </c>
      <c r="G28" s="566"/>
      <c r="H28" s="566"/>
      <c r="I28" s="566"/>
      <c r="J28" s="566"/>
      <c r="K28" s="566"/>
      <c r="L28" s="566"/>
      <c r="M28" s="567"/>
      <c r="N28" s="566"/>
      <c r="O28" s="567"/>
      <c r="P28" s="568">
        <f t="shared" si="0"/>
        <v>0</v>
      </c>
      <c r="Q28" s="566"/>
      <c r="R28" s="568">
        <f t="shared" si="1"/>
        <v>721617</v>
      </c>
    </row>
    <row r="29" spans="1:18" ht="15.75" x14ac:dyDescent="0.2">
      <c r="A29" s="569" t="s">
        <v>826</v>
      </c>
      <c r="B29" s="570" t="s">
        <v>993</v>
      </c>
      <c r="C29" s="571" t="s">
        <v>994</v>
      </c>
      <c r="D29" s="572">
        <f>SUM(D25:D28)</f>
        <v>4389883</v>
      </c>
      <c r="E29" s="572"/>
      <c r="F29" s="572">
        <f>SUM(F25:F28)</f>
        <v>6271926</v>
      </c>
      <c r="G29" s="572">
        <f>SUM(G25:G28)</f>
        <v>68</v>
      </c>
      <c r="H29" s="572"/>
      <c r="I29" s="572">
        <f>SUM(I25:I28)</f>
        <v>2</v>
      </c>
      <c r="J29" s="572">
        <f>SUM(J25:J28)</f>
        <v>61</v>
      </c>
      <c r="K29" s="572"/>
      <c r="L29" s="572">
        <f>SUM(L25:L28)</f>
        <v>2</v>
      </c>
      <c r="M29" s="573">
        <f>SUM(M25:M28)</f>
        <v>128</v>
      </c>
      <c r="N29" s="572"/>
      <c r="O29" s="573">
        <f>SUM(O25:O28)</f>
        <v>15</v>
      </c>
      <c r="P29" s="574">
        <f t="shared" si="0"/>
        <v>4390140</v>
      </c>
      <c r="Q29" s="566"/>
      <c r="R29" s="574">
        <f t="shared" si="1"/>
        <v>6271945</v>
      </c>
    </row>
    <row r="30" spans="1:18" ht="15" x14ac:dyDescent="0.2">
      <c r="A30" s="569" t="s">
        <v>910</v>
      </c>
      <c r="B30" s="563">
        <v>24</v>
      </c>
      <c r="C30" s="564" t="s">
        <v>995</v>
      </c>
      <c r="D30" s="566">
        <v>1200710</v>
      </c>
      <c r="E30" s="566"/>
      <c r="F30" s="566">
        <v>1000122</v>
      </c>
      <c r="G30" s="566"/>
      <c r="H30" s="566"/>
      <c r="I30" s="566"/>
      <c r="J30" s="566"/>
      <c r="K30" s="566"/>
      <c r="L30" s="566"/>
      <c r="M30" s="567"/>
      <c r="N30" s="566"/>
      <c r="O30" s="567"/>
      <c r="P30" s="568">
        <f t="shared" si="0"/>
        <v>1200710</v>
      </c>
      <c r="Q30" s="566"/>
      <c r="R30" s="568">
        <f t="shared" si="1"/>
        <v>1000122</v>
      </c>
    </row>
    <row r="31" spans="1:18" s="547" customFormat="1" ht="15" x14ac:dyDescent="0.2">
      <c r="A31" s="569" t="s">
        <v>1623</v>
      </c>
      <c r="B31" s="563">
        <v>26</v>
      </c>
      <c r="C31" s="564" t="s">
        <v>996</v>
      </c>
      <c r="D31" s="566">
        <v>81</v>
      </c>
      <c r="E31" s="566"/>
      <c r="F31" s="566">
        <v>72</v>
      </c>
      <c r="G31" s="566"/>
      <c r="H31" s="566"/>
      <c r="I31" s="566"/>
      <c r="J31" s="566"/>
      <c r="K31" s="566"/>
      <c r="L31" s="566"/>
      <c r="M31" s="567"/>
      <c r="N31" s="566"/>
      <c r="O31" s="567"/>
      <c r="P31" s="568">
        <f t="shared" si="0"/>
        <v>81</v>
      </c>
      <c r="Q31" s="566"/>
      <c r="R31" s="568">
        <f t="shared" si="1"/>
        <v>72</v>
      </c>
    </row>
    <row r="32" spans="1:18" ht="15.75" x14ac:dyDescent="0.2">
      <c r="A32" s="569" t="s">
        <v>913</v>
      </c>
      <c r="B32" s="570" t="s">
        <v>997</v>
      </c>
      <c r="C32" s="571" t="s">
        <v>998</v>
      </c>
      <c r="D32" s="572">
        <f>D30+D31</f>
        <v>1200791</v>
      </c>
      <c r="E32" s="572"/>
      <c r="F32" s="572">
        <f t="shared" ref="F32:O32" si="5">F30+F31</f>
        <v>1000194</v>
      </c>
      <c r="G32" s="572">
        <f t="shared" si="5"/>
        <v>0</v>
      </c>
      <c r="H32" s="572">
        <f t="shared" si="5"/>
        <v>0</v>
      </c>
      <c r="I32" s="572">
        <f t="shared" si="5"/>
        <v>0</v>
      </c>
      <c r="J32" s="572">
        <f t="shared" si="5"/>
        <v>0</v>
      </c>
      <c r="K32" s="572">
        <f t="shared" si="5"/>
        <v>0</v>
      </c>
      <c r="L32" s="572">
        <f t="shared" si="5"/>
        <v>0</v>
      </c>
      <c r="M32" s="572">
        <f t="shared" si="5"/>
        <v>0</v>
      </c>
      <c r="N32" s="572">
        <f t="shared" si="5"/>
        <v>0</v>
      </c>
      <c r="O32" s="572">
        <f t="shared" si="5"/>
        <v>0</v>
      </c>
      <c r="P32" s="574">
        <f t="shared" si="0"/>
        <v>1200791</v>
      </c>
      <c r="Q32" s="572"/>
      <c r="R32" s="574">
        <f t="shared" si="1"/>
        <v>1000194</v>
      </c>
    </row>
    <row r="33" spans="1:18" ht="15.75" x14ac:dyDescent="0.2">
      <c r="A33" s="569" t="s">
        <v>915</v>
      </c>
      <c r="B33" s="570" t="s">
        <v>999</v>
      </c>
      <c r="C33" s="571" t="s">
        <v>1000</v>
      </c>
      <c r="D33" s="572">
        <f>D29-D32</f>
        <v>3189092</v>
      </c>
      <c r="E33" s="572">
        <f t="shared" ref="E33:O33" si="6">E29-E32</f>
        <v>0</v>
      </c>
      <c r="F33" s="572">
        <f t="shared" si="6"/>
        <v>5271732</v>
      </c>
      <c r="G33" s="572">
        <f t="shared" si="6"/>
        <v>68</v>
      </c>
      <c r="H33" s="572">
        <f t="shared" si="6"/>
        <v>0</v>
      </c>
      <c r="I33" s="572">
        <f t="shared" si="6"/>
        <v>2</v>
      </c>
      <c r="J33" s="572">
        <f t="shared" si="6"/>
        <v>61</v>
      </c>
      <c r="K33" s="572">
        <f t="shared" si="6"/>
        <v>0</v>
      </c>
      <c r="L33" s="572">
        <f t="shared" si="6"/>
        <v>2</v>
      </c>
      <c r="M33" s="572">
        <f t="shared" si="6"/>
        <v>128</v>
      </c>
      <c r="N33" s="572">
        <f t="shared" si="6"/>
        <v>0</v>
      </c>
      <c r="O33" s="572">
        <f t="shared" si="6"/>
        <v>15</v>
      </c>
      <c r="P33" s="574">
        <f t="shared" si="0"/>
        <v>3189349</v>
      </c>
      <c r="Q33" s="572"/>
      <c r="R33" s="574">
        <f t="shared" si="1"/>
        <v>5271751</v>
      </c>
    </row>
    <row r="34" spans="1:18" ht="15.75" x14ac:dyDescent="0.2">
      <c r="A34" s="569">
        <v>44</v>
      </c>
      <c r="B34" s="570" t="s">
        <v>1001</v>
      </c>
      <c r="C34" s="575" t="s">
        <v>1002</v>
      </c>
      <c r="D34" s="572">
        <f>D24+D33</f>
        <v>-36296995</v>
      </c>
      <c r="E34" s="572">
        <f>E24+E33</f>
        <v>0</v>
      </c>
      <c r="F34" s="572">
        <f t="shared" ref="F34:O34" si="7">F24+F33</f>
        <v>111314166</v>
      </c>
      <c r="G34" s="572">
        <f t="shared" si="7"/>
        <v>1076956</v>
      </c>
      <c r="H34" s="572">
        <f t="shared" si="7"/>
        <v>0</v>
      </c>
      <c r="I34" s="572">
        <f t="shared" si="7"/>
        <v>-3775012</v>
      </c>
      <c r="J34" s="572">
        <f t="shared" si="7"/>
        <v>-3076002</v>
      </c>
      <c r="K34" s="572">
        <f t="shared" si="7"/>
        <v>0</v>
      </c>
      <c r="L34" s="572">
        <f t="shared" si="7"/>
        <v>-3955054</v>
      </c>
      <c r="M34" s="572">
        <f t="shared" si="7"/>
        <v>-3305531</v>
      </c>
      <c r="N34" s="572">
        <f t="shared" si="7"/>
        <v>0</v>
      </c>
      <c r="O34" s="572">
        <f t="shared" si="7"/>
        <v>5560184</v>
      </c>
      <c r="P34" s="574">
        <f t="shared" si="0"/>
        <v>-41601572</v>
      </c>
      <c r="Q34" s="574">
        <f t="shared" si="0"/>
        <v>0</v>
      </c>
      <c r="R34" s="574">
        <f t="shared" si="1"/>
        <v>109144284</v>
      </c>
    </row>
    <row r="35" spans="1:18" x14ac:dyDescent="0.2">
      <c r="D35" s="557"/>
      <c r="E35" s="557"/>
      <c r="F35" s="557"/>
      <c r="G35" s="557"/>
      <c r="H35" s="557"/>
      <c r="I35" s="557"/>
      <c r="J35" s="557"/>
      <c r="K35" s="557"/>
      <c r="L35" s="557"/>
      <c r="M35" s="557"/>
      <c r="N35" s="557"/>
      <c r="O35" s="557"/>
      <c r="P35" s="557"/>
      <c r="Q35" s="557"/>
      <c r="R35" s="557"/>
    </row>
    <row r="36" spans="1:18" x14ac:dyDescent="0.2">
      <c r="A36" s="558"/>
      <c r="B36" s="558"/>
      <c r="C36" s="558"/>
      <c r="D36" s="557"/>
      <c r="E36" s="557"/>
      <c r="F36" s="557"/>
      <c r="G36" s="557"/>
      <c r="H36" s="557"/>
      <c r="I36" s="557"/>
      <c r="J36" s="557"/>
      <c r="K36" s="557"/>
      <c r="L36" s="557"/>
      <c r="M36" s="557"/>
      <c r="N36" s="557"/>
      <c r="O36" s="557"/>
      <c r="P36" s="557"/>
      <c r="Q36" s="557"/>
      <c r="R36" s="557"/>
    </row>
    <row r="37" spans="1:18" x14ac:dyDescent="0.2">
      <c r="D37" s="557"/>
      <c r="E37" s="557"/>
      <c r="F37" s="557"/>
      <c r="G37" s="557"/>
      <c r="H37" s="557"/>
      <c r="I37" s="557"/>
      <c r="J37" s="557"/>
      <c r="K37" s="557"/>
      <c r="L37" s="557"/>
      <c r="M37" s="557"/>
      <c r="N37" s="557"/>
      <c r="O37" s="557"/>
      <c r="P37" s="557"/>
      <c r="Q37" s="557"/>
      <c r="R37" s="557"/>
    </row>
    <row r="38" spans="1:18" x14ac:dyDescent="0.2">
      <c r="D38" s="557"/>
      <c r="E38" s="557"/>
      <c r="F38" s="557"/>
      <c r="G38" s="557"/>
      <c r="H38" s="557"/>
      <c r="I38" s="557"/>
      <c r="J38" s="557"/>
      <c r="K38" s="557"/>
      <c r="L38" s="557"/>
      <c r="M38" s="557"/>
      <c r="N38" s="557"/>
      <c r="O38" s="557"/>
      <c r="P38" s="557"/>
      <c r="Q38" s="557"/>
      <c r="R38" s="557"/>
    </row>
    <row r="39" spans="1:18" x14ac:dyDescent="0.2">
      <c r="D39" s="557"/>
      <c r="E39" s="557"/>
      <c r="F39" s="557"/>
      <c r="G39" s="557"/>
      <c r="H39" s="557"/>
      <c r="I39" s="557"/>
      <c r="J39" s="557"/>
      <c r="K39" s="557"/>
      <c r="L39" s="557"/>
      <c r="M39" s="557"/>
      <c r="N39" s="557"/>
      <c r="O39" s="557"/>
      <c r="P39" s="557"/>
      <c r="Q39" s="557"/>
      <c r="R39" s="557"/>
    </row>
    <row r="40" spans="1:18" x14ac:dyDescent="0.2">
      <c r="D40" s="557"/>
      <c r="E40" s="557"/>
      <c r="F40" s="557"/>
      <c r="G40" s="557"/>
      <c r="H40" s="557"/>
      <c r="I40" s="557"/>
      <c r="J40" s="557"/>
      <c r="K40" s="557"/>
      <c r="L40" s="557"/>
      <c r="M40" s="557"/>
      <c r="N40" s="557"/>
      <c r="O40" s="557"/>
      <c r="P40" s="557"/>
      <c r="Q40" s="557"/>
      <c r="R40" s="557"/>
    </row>
    <row r="41" spans="1:18" x14ac:dyDescent="0.2">
      <c r="D41" s="557"/>
      <c r="E41" s="557"/>
      <c r="F41" s="557"/>
      <c r="G41" s="557"/>
      <c r="H41" s="557"/>
      <c r="I41" s="557"/>
      <c r="J41" s="557"/>
      <c r="K41" s="557"/>
      <c r="L41" s="557"/>
      <c r="M41" s="557"/>
      <c r="N41" s="557"/>
      <c r="O41" s="557"/>
      <c r="P41" s="557"/>
      <c r="Q41" s="557"/>
      <c r="R41" s="557"/>
    </row>
    <row r="42" spans="1:18" x14ac:dyDescent="0.2">
      <c r="D42" s="557"/>
      <c r="E42" s="557"/>
      <c r="F42" s="557"/>
      <c r="G42" s="557"/>
      <c r="H42" s="557"/>
      <c r="I42" s="557"/>
      <c r="J42" s="557"/>
      <c r="K42" s="557"/>
      <c r="L42" s="557"/>
      <c r="M42" s="557"/>
      <c r="N42" s="557"/>
      <c r="O42" s="557"/>
      <c r="P42" s="557"/>
      <c r="Q42" s="557"/>
      <c r="R42" s="557"/>
    </row>
    <row r="43" spans="1:18" x14ac:dyDescent="0.2">
      <c r="D43" s="557"/>
      <c r="E43" s="557"/>
      <c r="F43" s="557"/>
      <c r="G43" s="557"/>
      <c r="H43" s="557"/>
      <c r="I43" s="557"/>
      <c r="J43" s="557"/>
      <c r="K43" s="557"/>
      <c r="L43" s="557"/>
      <c r="M43" s="557"/>
      <c r="N43" s="557"/>
      <c r="O43" s="557"/>
      <c r="P43" s="557"/>
      <c r="Q43" s="557"/>
      <c r="R43" s="557"/>
    </row>
    <row r="44" spans="1:18" x14ac:dyDescent="0.2">
      <c r="D44" s="557"/>
      <c r="E44" s="557"/>
      <c r="F44" s="557"/>
      <c r="G44" s="557"/>
      <c r="H44" s="557"/>
      <c r="I44" s="557"/>
      <c r="J44" s="557"/>
      <c r="K44" s="557"/>
      <c r="L44" s="557"/>
      <c r="M44" s="557"/>
      <c r="N44" s="557"/>
      <c r="O44" s="557"/>
      <c r="P44" s="557"/>
      <c r="Q44" s="557"/>
      <c r="R44" s="557"/>
    </row>
    <row r="45" spans="1:18" x14ac:dyDescent="0.2">
      <c r="D45" s="557"/>
      <c r="E45" s="557"/>
      <c r="F45" s="557"/>
      <c r="G45" s="557"/>
      <c r="H45" s="557"/>
      <c r="I45" s="557"/>
      <c r="J45" s="557"/>
      <c r="K45" s="557"/>
      <c r="L45" s="557"/>
      <c r="M45" s="557"/>
      <c r="N45" s="557"/>
      <c r="O45" s="557"/>
      <c r="P45" s="557"/>
      <c r="Q45" s="557"/>
      <c r="R45" s="557"/>
    </row>
    <row r="46" spans="1:18" x14ac:dyDescent="0.2">
      <c r="D46" s="557"/>
      <c r="E46" s="557"/>
      <c r="F46" s="557"/>
      <c r="G46" s="557"/>
      <c r="H46" s="557"/>
      <c r="I46" s="557"/>
      <c r="J46" s="557"/>
      <c r="K46" s="557"/>
      <c r="L46" s="557"/>
      <c r="M46" s="557"/>
      <c r="N46" s="557"/>
      <c r="O46" s="557"/>
      <c r="P46" s="557"/>
      <c r="Q46" s="557"/>
      <c r="R46" s="557"/>
    </row>
    <row r="47" spans="1:18" x14ac:dyDescent="0.2">
      <c r="D47" s="557"/>
      <c r="E47" s="557"/>
      <c r="F47" s="557"/>
      <c r="G47" s="557"/>
      <c r="H47" s="557"/>
      <c r="I47" s="557"/>
      <c r="J47" s="557"/>
      <c r="K47" s="557"/>
      <c r="L47" s="557"/>
      <c r="M47" s="557"/>
      <c r="N47" s="557"/>
      <c r="O47" s="557"/>
      <c r="P47" s="557"/>
      <c r="Q47" s="557"/>
      <c r="R47" s="557"/>
    </row>
    <row r="48" spans="1:18" x14ac:dyDescent="0.2">
      <c r="D48" s="557"/>
      <c r="E48" s="557"/>
      <c r="F48" s="557"/>
      <c r="G48" s="557"/>
      <c r="H48" s="557"/>
      <c r="I48" s="557"/>
      <c r="J48" s="557"/>
      <c r="K48" s="557"/>
      <c r="L48" s="557"/>
      <c r="M48" s="557"/>
      <c r="N48" s="557"/>
      <c r="O48" s="557"/>
      <c r="P48" s="557"/>
      <c r="Q48" s="557"/>
      <c r="R48" s="557"/>
    </row>
    <row r="49" spans="4:18" x14ac:dyDescent="0.2">
      <c r="D49" s="557"/>
      <c r="E49" s="557"/>
      <c r="F49" s="557"/>
      <c r="G49" s="557"/>
      <c r="H49" s="557"/>
      <c r="I49" s="557"/>
      <c r="J49" s="557"/>
      <c r="K49" s="557"/>
      <c r="L49" s="557"/>
      <c r="M49" s="557"/>
      <c r="N49" s="557"/>
      <c r="O49" s="557"/>
      <c r="P49" s="557"/>
      <c r="Q49" s="557"/>
      <c r="R49" s="557"/>
    </row>
    <row r="50" spans="4:18" x14ac:dyDescent="0.2">
      <c r="D50" s="557"/>
      <c r="E50" s="557"/>
      <c r="F50" s="557"/>
      <c r="G50" s="557"/>
      <c r="H50" s="557"/>
      <c r="I50" s="557"/>
      <c r="J50" s="557"/>
      <c r="K50" s="557"/>
      <c r="L50" s="557"/>
      <c r="M50" s="557"/>
      <c r="N50" s="557"/>
      <c r="O50" s="557"/>
      <c r="P50" s="557"/>
      <c r="Q50" s="557"/>
      <c r="R50" s="557"/>
    </row>
    <row r="51" spans="4:18" x14ac:dyDescent="0.2">
      <c r="D51" s="557"/>
      <c r="E51" s="557"/>
      <c r="F51" s="557"/>
      <c r="G51" s="557"/>
      <c r="H51" s="557"/>
      <c r="I51" s="557"/>
      <c r="J51" s="557"/>
      <c r="K51" s="557"/>
      <c r="L51" s="557"/>
      <c r="M51" s="557"/>
      <c r="N51" s="557"/>
      <c r="O51" s="557"/>
      <c r="P51" s="557"/>
      <c r="Q51" s="557"/>
      <c r="R51" s="557"/>
    </row>
    <row r="52" spans="4:18" x14ac:dyDescent="0.2">
      <c r="D52" s="557"/>
      <c r="E52" s="557"/>
      <c r="F52" s="557"/>
      <c r="G52" s="557"/>
      <c r="H52" s="557"/>
      <c r="I52" s="557"/>
      <c r="J52" s="557"/>
      <c r="K52" s="557"/>
      <c r="L52" s="557"/>
      <c r="M52" s="557"/>
      <c r="N52" s="557"/>
      <c r="O52" s="557"/>
      <c r="P52" s="557"/>
      <c r="Q52" s="557"/>
      <c r="R52" s="557"/>
    </row>
    <row r="53" spans="4:18" x14ac:dyDescent="0.2">
      <c r="D53" s="557"/>
      <c r="E53" s="557"/>
      <c r="F53" s="557"/>
      <c r="G53" s="557"/>
      <c r="H53" s="557"/>
      <c r="I53" s="557"/>
      <c r="J53" s="557"/>
      <c r="K53" s="557"/>
      <c r="L53" s="557"/>
      <c r="M53" s="557"/>
      <c r="N53" s="557"/>
      <c r="O53" s="557"/>
      <c r="P53" s="557"/>
      <c r="Q53" s="557"/>
      <c r="R53" s="557"/>
    </row>
    <row r="54" spans="4:18" x14ac:dyDescent="0.2">
      <c r="D54" s="557"/>
      <c r="E54" s="557"/>
      <c r="F54" s="557"/>
      <c r="G54" s="557"/>
      <c r="H54" s="557"/>
      <c r="I54" s="557"/>
      <c r="J54" s="557"/>
      <c r="K54" s="557"/>
      <c r="L54" s="557"/>
      <c r="M54" s="557"/>
      <c r="N54" s="557"/>
      <c r="O54" s="557"/>
      <c r="P54" s="557"/>
      <c r="Q54" s="557"/>
      <c r="R54" s="557"/>
    </row>
    <row r="55" spans="4:18" x14ac:dyDescent="0.2">
      <c r="D55" s="557"/>
      <c r="E55" s="557"/>
      <c r="F55" s="557"/>
      <c r="G55" s="557"/>
      <c r="H55" s="557"/>
      <c r="I55" s="557"/>
      <c r="J55" s="557"/>
      <c r="K55" s="557"/>
      <c r="L55" s="557"/>
      <c r="M55" s="557"/>
      <c r="N55" s="557"/>
      <c r="O55" s="557"/>
      <c r="P55" s="557"/>
      <c r="Q55" s="557"/>
      <c r="R55" s="557"/>
    </row>
    <row r="56" spans="4:18" x14ac:dyDescent="0.2">
      <c r="D56" s="557"/>
      <c r="E56" s="557"/>
      <c r="F56" s="557"/>
      <c r="G56" s="557"/>
      <c r="H56" s="557"/>
      <c r="I56" s="557"/>
      <c r="J56" s="557"/>
      <c r="K56" s="557"/>
      <c r="L56" s="557"/>
      <c r="M56" s="557"/>
      <c r="N56" s="557"/>
      <c r="O56" s="557"/>
      <c r="P56" s="557"/>
      <c r="Q56" s="557"/>
      <c r="R56" s="557"/>
    </row>
    <row r="57" spans="4:18" x14ac:dyDescent="0.2">
      <c r="D57" s="557"/>
      <c r="E57" s="557"/>
      <c r="F57" s="557"/>
      <c r="G57" s="557"/>
      <c r="H57" s="557"/>
      <c r="I57" s="557"/>
      <c r="J57" s="557"/>
      <c r="K57" s="557"/>
      <c r="L57" s="557"/>
      <c r="M57" s="557"/>
      <c r="N57" s="557"/>
      <c r="O57" s="557"/>
      <c r="P57" s="557"/>
      <c r="Q57" s="557"/>
      <c r="R57" s="557"/>
    </row>
    <row r="58" spans="4:18" x14ac:dyDescent="0.2">
      <c r="D58" s="557"/>
      <c r="E58" s="557"/>
      <c r="F58" s="557"/>
      <c r="G58" s="557"/>
      <c r="H58" s="557"/>
      <c r="I58" s="557"/>
      <c r="J58" s="557"/>
      <c r="K58" s="557"/>
      <c r="L58" s="557"/>
      <c r="M58" s="557"/>
      <c r="N58" s="557"/>
      <c r="O58" s="557"/>
      <c r="P58" s="557"/>
      <c r="Q58" s="557"/>
      <c r="R58" s="557"/>
    </row>
    <row r="59" spans="4:18" x14ac:dyDescent="0.2">
      <c r="D59" s="557"/>
      <c r="E59" s="557"/>
      <c r="F59" s="557"/>
      <c r="G59" s="557"/>
      <c r="H59" s="557"/>
      <c r="I59" s="557"/>
      <c r="J59" s="557"/>
      <c r="K59" s="557"/>
      <c r="L59" s="557"/>
      <c r="M59" s="557"/>
      <c r="N59" s="557"/>
      <c r="O59" s="557"/>
      <c r="P59" s="557"/>
      <c r="Q59" s="557"/>
      <c r="R59" s="557"/>
    </row>
    <row r="60" spans="4:18" x14ac:dyDescent="0.2">
      <c r="D60" s="557"/>
      <c r="E60" s="557"/>
      <c r="F60" s="557"/>
      <c r="G60" s="557"/>
      <c r="H60" s="557"/>
      <c r="I60" s="557"/>
      <c r="J60" s="557"/>
      <c r="K60" s="557"/>
      <c r="L60" s="557"/>
      <c r="M60" s="557"/>
      <c r="N60" s="557"/>
      <c r="O60" s="557"/>
      <c r="P60" s="557"/>
      <c r="Q60" s="557"/>
      <c r="R60" s="557"/>
    </row>
    <row r="61" spans="4:18" x14ac:dyDescent="0.2">
      <c r="D61" s="557"/>
      <c r="E61" s="557"/>
      <c r="F61" s="557"/>
      <c r="G61" s="557"/>
      <c r="H61" s="557"/>
      <c r="I61" s="557"/>
      <c r="J61" s="557"/>
      <c r="K61" s="557"/>
      <c r="L61" s="557"/>
      <c r="M61" s="557"/>
      <c r="N61" s="557"/>
      <c r="O61" s="557"/>
      <c r="P61" s="557"/>
      <c r="Q61" s="557"/>
      <c r="R61" s="557"/>
    </row>
    <row r="62" spans="4:18" x14ac:dyDescent="0.2">
      <c r="D62" s="557"/>
      <c r="E62" s="557"/>
      <c r="F62" s="557"/>
      <c r="G62" s="557"/>
      <c r="H62" s="557"/>
      <c r="I62" s="557"/>
      <c r="J62" s="557"/>
      <c r="K62" s="557"/>
      <c r="L62" s="557"/>
      <c r="M62" s="557"/>
      <c r="N62" s="557"/>
      <c r="O62" s="557"/>
      <c r="P62" s="557"/>
      <c r="Q62" s="557"/>
      <c r="R62" s="557"/>
    </row>
    <row r="63" spans="4:18" x14ac:dyDescent="0.2">
      <c r="D63" s="557"/>
      <c r="E63" s="557"/>
      <c r="F63" s="557"/>
      <c r="G63" s="557"/>
      <c r="H63" s="557"/>
      <c r="I63" s="557"/>
      <c r="J63" s="557"/>
      <c r="K63" s="557"/>
      <c r="L63" s="557"/>
      <c r="M63" s="557"/>
      <c r="N63" s="557"/>
      <c r="O63" s="557"/>
      <c r="P63" s="557"/>
      <c r="Q63" s="557"/>
      <c r="R63" s="557"/>
    </row>
    <row r="64" spans="4:18" x14ac:dyDescent="0.2">
      <c r="D64" s="557"/>
      <c r="E64" s="557"/>
      <c r="F64" s="557"/>
      <c r="G64" s="557"/>
      <c r="H64" s="557"/>
      <c r="I64" s="557"/>
      <c r="J64" s="557"/>
      <c r="K64" s="557"/>
      <c r="L64" s="557"/>
      <c r="M64" s="557"/>
      <c r="N64" s="557"/>
      <c r="O64" s="557"/>
      <c r="P64" s="557"/>
      <c r="Q64" s="557"/>
      <c r="R64" s="557"/>
    </row>
    <row r="65" spans="4:18" x14ac:dyDescent="0.2">
      <c r="D65" s="557"/>
      <c r="E65" s="557"/>
      <c r="F65" s="557"/>
      <c r="G65" s="557"/>
      <c r="H65" s="557"/>
      <c r="I65" s="557"/>
      <c r="J65" s="557"/>
      <c r="K65" s="557"/>
      <c r="L65" s="557"/>
      <c r="M65" s="557"/>
      <c r="N65" s="557"/>
      <c r="O65" s="557"/>
      <c r="P65" s="557"/>
      <c r="Q65" s="557"/>
      <c r="R65" s="557"/>
    </row>
    <row r="66" spans="4:18" x14ac:dyDescent="0.2">
      <c r="D66" s="557"/>
      <c r="E66" s="557"/>
      <c r="F66" s="557"/>
      <c r="G66" s="557"/>
      <c r="H66" s="557"/>
      <c r="I66" s="557"/>
      <c r="J66" s="557"/>
      <c r="K66" s="557"/>
      <c r="L66" s="557"/>
      <c r="M66" s="557"/>
      <c r="N66" s="557"/>
      <c r="O66" s="557"/>
      <c r="P66" s="557"/>
      <c r="Q66" s="557"/>
      <c r="R66" s="557"/>
    </row>
    <row r="67" spans="4:18" x14ac:dyDescent="0.2">
      <c r="D67" s="557"/>
      <c r="E67" s="557"/>
      <c r="F67" s="557"/>
      <c r="G67" s="557"/>
      <c r="H67" s="557"/>
      <c r="I67" s="557"/>
      <c r="J67" s="557"/>
      <c r="K67" s="557"/>
      <c r="L67" s="557"/>
      <c r="M67" s="557"/>
      <c r="N67" s="557"/>
      <c r="O67" s="557"/>
      <c r="P67" s="557"/>
      <c r="Q67" s="557"/>
      <c r="R67" s="557"/>
    </row>
    <row r="68" spans="4:18" x14ac:dyDescent="0.2">
      <c r="D68" s="557"/>
      <c r="E68" s="557"/>
      <c r="F68" s="557"/>
      <c r="G68" s="557"/>
      <c r="H68" s="557"/>
      <c r="I68" s="557"/>
      <c r="J68" s="557"/>
      <c r="K68" s="557"/>
      <c r="L68" s="557"/>
      <c r="M68" s="557"/>
      <c r="N68" s="557"/>
      <c r="O68" s="557"/>
      <c r="P68" s="557"/>
      <c r="Q68" s="557"/>
      <c r="R68" s="557"/>
    </row>
    <row r="69" spans="4:18" x14ac:dyDescent="0.2">
      <c r="D69" s="557"/>
      <c r="E69" s="557"/>
      <c r="F69" s="557"/>
      <c r="G69" s="557"/>
      <c r="H69" s="557"/>
      <c r="I69" s="557"/>
      <c r="J69" s="557"/>
      <c r="K69" s="557"/>
      <c r="L69" s="557"/>
      <c r="M69" s="557"/>
      <c r="N69" s="557"/>
      <c r="O69" s="557"/>
      <c r="P69" s="557"/>
      <c r="Q69" s="557"/>
      <c r="R69" s="557"/>
    </row>
    <row r="70" spans="4:18" x14ac:dyDescent="0.2">
      <c r="D70" s="557"/>
      <c r="E70" s="557"/>
      <c r="F70" s="557"/>
      <c r="G70" s="557"/>
      <c r="H70" s="557"/>
      <c r="I70" s="557"/>
      <c r="J70" s="557"/>
      <c r="K70" s="557"/>
      <c r="L70" s="557"/>
      <c r="M70" s="557"/>
      <c r="N70" s="557"/>
      <c r="O70" s="557"/>
      <c r="P70" s="557"/>
      <c r="Q70" s="557"/>
      <c r="R70" s="557"/>
    </row>
    <row r="71" spans="4:18" x14ac:dyDescent="0.2">
      <c r="D71" s="557"/>
      <c r="E71" s="557"/>
      <c r="F71" s="557"/>
      <c r="G71" s="557"/>
      <c r="H71" s="557"/>
      <c r="I71" s="557"/>
      <c r="J71" s="557"/>
      <c r="K71" s="557"/>
      <c r="L71" s="557"/>
      <c r="M71" s="557"/>
      <c r="N71" s="557"/>
      <c r="O71" s="557"/>
      <c r="P71" s="557"/>
      <c r="Q71" s="557"/>
      <c r="R71" s="557"/>
    </row>
    <row r="72" spans="4:18" x14ac:dyDescent="0.2">
      <c r="D72" s="557"/>
      <c r="E72" s="557"/>
      <c r="F72" s="557"/>
      <c r="G72" s="557"/>
      <c r="H72" s="557"/>
      <c r="I72" s="557"/>
      <c r="J72" s="557"/>
      <c r="K72" s="557"/>
      <c r="L72" s="557"/>
      <c r="M72" s="557"/>
      <c r="N72" s="557"/>
      <c r="O72" s="557"/>
      <c r="P72" s="557"/>
      <c r="Q72" s="557"/>
      <c r="R72" s="557"/>
    </row>
    <row r="73" spans="4:18" x14ac:dyDescent="0.2">
      <c r="D73" s="557"/>
      <c r="E73" s="557"/>
      <c r="F73" s="557"/>
      <c r="G73" s="557"/>
      <c r="H73" s="557"/>
      <c r="I73" s="557"/>
      <c r="J73" s="557"/>
      <c r="K73" s="557"/>
      <c r="L73" s="557"/>
      <c r="M73" s="557"/>
      <c r="N73" s="557"/>
      <c r="O73" s="557"/>
      <c r="P73" s="557"/>
      <c r="Q73" s="557"/>
      <c r="R73" s="557"/>
    </row>
    <row r="74" spans="4:18" x14ac:dyDescent="0.2">
      <c r="D74" s="557"/>
      <c r="E74" s="557"/>
      <c r="F74" s="557"/>
      <c r="G74" s="557"/>
      <c r="H74" s="557"/>
      <c r="I74" s="557"/>
      <c r="J74" s="557"/>
      <c r="K74" s="557"/>
      <c r="L74" s="557"/>
      <c r="M74" s="557"/>
      <c r="N74" s="557"/>
      <c r="O74" s="557"/>
      <c r="P74" s="557"/>
      <c r="Q74" s="557"/>
      <c r="R74" s="557"/>
    </row>
    <row r="75" spans="4:18" x14ac:dyDescent="0.2">
      <c r="D75" s="557"/>
      <c r="E75" s="557"/>
      <c r="F75" s="557"/>
      <c r="G75" s="557"/>
      <c r="H75" s="557"/>
      <c r="I75" s="557"/>
      <c r="J75" s="557"/>
      <c r="K75" s="557"/>
      <c r="L75" s="557"/>
      <c r="M75" s="557"/>
      <c r="N75" s="557"/>
      <c r="O75" s="557"/>
      <c r="P75" s="557"/>
      <c r="Q75" s="557"/>
      <c r="R75" s="557"/>
    </row>
    <row r="76" spans="4:18" x14ac:dyDescent="0.2">
      <c r="D76" s="557"/>
      <c r="E76" s="557"/>
      <c r="F76" s="557"/>
      <c r="G76" s="557"/>
      <c r="H76" s="557"/>
      <c r="I76" s="557"/>
      <c r="J76" s="557"/>
      <c r="K76" s="557"/>
      <c r="L76" s="557"/>
      <c r="M76" s="557"/>
      <c r="N76" s="557"/>
      <c r="O76" s="557"/>
      <c r="P76" s="557"/>
      <c r="Q76" s="557"/>
      <c r="R76" s="557"/>
    </row>
    <row r="77" spans="4:18" x14ac:dyDescent="0.2">
      <c r="D77" s="557"/>
      <c r="E77" s="557"/>
      <c r="F77" s="557"/>
      <c r="G77" s="557"/>
      <c r="H77" s="557"/>
      <c r="I77" s="557"/>
      <c r="J77" s="557"/>
      <c r="K77" s="557"/>
      <c r="L77" s="557"/>
      <c r="M77" s="557"/>
      <c r="N77" s="557"/>
      <c r="O77" s="557"/>
      <c r="P77" s="557"/>
      <c r="Q77" s="557"/>
      <c r="R77" s="557"/>
    </row>
    <row r="78" spans="4:18" x14ac:dyDescent="0.2">
      <c r="D78" s="557"/>
      <c r="E78" s="557"/>
      <c r="F78" s="557"/>
      <c r="G78" s="557"/>
      <c r="H78" s="557"/>
      <c r="I78" s="557"/>
      <c r="J78" s="557"/>
      <c r="K78" s="557"/>
      <c r="L78" s="557"/>
      <c r="M78" s="557"/>
      <c r="N78" s="557"/>
      <c r="O78" s="557"/>
      <c r="P78" s="557"/>
      <c r="Q78" s="557"/>
      <c r="R78" s="557"/>
    </row>
    <row r="79" spans="4:18" x14ac:dyDescent="0.2">
      <c r="D79" s="557"/>
      <c r="E79" s="557"/>
      <c r="F79" s="557"/>
      <c r="G79" s="557"/>
      <c r="H79" s="557"/>
      <c r="I79" s="557"/>
      <c r="J79" s="557"/>
      <c r="K79" s="557"/>
      <c r="L79" s="557"/>
      <c r="M79" s="557"/>
      <c r="N79" s="557"/>
      <c r="O79" s="557"/>
      <c r="P79" s="557"/>
      <c r="Q79" s="557"/>
      <c r="R79" s="557"/>
    </row>
    <row r="80" spans="4:18" x14ac:dyDescent="0.2">
      <c r="D80" s="557"/>
      <c r="E80" s="557"/>
      <c r="F80" s="557"/>
      <c r="G80" s="557"/>
      <c r="H80" s="557"/>
      <c r="I80" s="557"/>
      <c r="J80" s="557"/>
      <c r="K80" s="557"/>
      <c r="L80" s="557"/>
      <c r="M80" s="557"/>
      <c r="N80" s="557"/>
      <c r="O80" s="557"/>
      <c r="P80" s="557"/>
      <c r="Q80" s="557"/>
      <c r="R80" s="557"/>
    </row>
    <row r="81" spans="4:18" x14ac:dyDescent="0.2">
      <c r="D81" s="557"/>
      <c r="E81" s="557"/>
      <c r="F81" s="557"/>
      <c r="G81" s="557"/>
      <c r="H81" s="557"/>
      <c r="I81" s="557"/>
      <c r="J81" s="557"/>
      <c r="K81" s="557"/>
      <c r="L81" s="557"/>
      <c r="M81" s="557"/>
      <c r="N81" s="557"/>
      <c r="O81" s="557"/>
      <c r="P81" s="557"/>
      <c r="Q81" s="557"/>
      <c r="R81" s="557"/>
    </row>
    <row r="82" spans="4:18" x14ac:dyDescent="0.2">
      <c r="D82" s="557"/>
      <c r="E82" s="557"/>
      <c r="F82" s="557"/>
      <c r="G82" s="557"/>
      <c r="H82" s="557"/>
      <c r="I82" s="557"/>
      <c r="J82" s="557"/>
      <c r="K82" s="557"/>
      <c r="L82" s="557"/>
      <c r="M82" s="557"/>
      <c r="N82" s="557"/>
      <c r="O82" s="557"/>
      <c r="P82" s="557"/>
      <c r="Q82" s="557"/>
      <c r="R82" s="557"/>
    </row>
    <row r="83" spans="4:18" x14ac:dyDescent="0.2">
      <c r="D83" s="557"/>
      <c r="E83" s="557"/>
      <c r="F83" s="557"/>
      <c r="G83" s="557"/>
      <c r="H83" s="557"/>
      <c r="I83" s="557"/>
      <c r="J83" s="557"/>
      <c r="K83" s="557"/>
      <c r="L83" s="557"/>
      <c r="M83" s="557"/>
      <c r="N83" s="557"/>
      <c r="O83" s="557"/>
      <c r="P83" s="557"/>
      <c r="Q83" s="557"/>
      <c r="R83" s="557"/>
    </row>
    <row r="84" spans="4:18" x14ac:dyDescent="0.2">
      <c r="D84" s="557"/>
      <c r="E84" s="557"/>
      <c r="F84" s="557"/>
      <c r="G84" s="557"/>
      <c r="H84" s="557"/>
      <c r="I84" s="557"/>
      <c r="J84" s="557"/>
      <c r="K84" s="557"/>
      <c r="L84" s="557"/>
      <c r="M84" s="557"/>
      <c r="N84" s="557"/>
      <c r="O84" s="557"/>
      <c r="P84" s="557"/>
      <c r="Q84" s="557"/>
      <c r="R84" s="557"/>
    </row>
    <row r="85" spans="4:18" x14ac:dyDescent="0.2">
      <c r="D85" s="557"/>
      <c r="E85" s="557"/>
      <c r="F85" s="557"/>
      <c r="G85" s="557"/>
      <c r="H85" s="557"/>
      <c r="I85" s="557"/>
      <c r="J85" s="557"/>
      <c r="K85" s="557"/>
      <c r="L85" s="557"/>
      <c r="M85" s="557"/>
      <c r="N85" s="557"/>
      <c r="O85" s="557"/>
      <c r="P85" s="557"/>
      <c r="Q85" s="557"/>
      <c r="R85" s="557"/>
    </row>
    <row r="86" spans="4:18" x14ac:dyDescent="0.2">
      <c r="D86" s="557"/>
      <c r="E86" s="557"/>
      <c r="F86" s="557"/>
      <c r="G86" s="557"/>
      <c r="H86" s="557"/>
      <c r="I86" s="557"/>
      <c r="J86" s="557"/>
      <c r="K86" s="557"/>
      <c r="L86" s="557"/>
      <c r="M86" s="557"/>
      <c r="N86" s="557"/>
      <c r="O86" s="557"/>
      <c r="P86" s="557"/>
      <c r="Q86" s="557"/>
      <c r="R86" s="557"/>
    </row>
    <row r="87" spans="4:18" x14ac:dyDescent="0.2">
      <c r="D87" s="557"/>
      <c r="E87" s="557"/>
      <c r="F87" s="557"/>
      <c r="G87" s="557"/>
      <c r="H87" s="557"/>
      <c r="I87" s="557"/>
      <c r="J87" s="557"/>
      <c r="K87" s="557"/>
      <c r="L87" s="557"/>
      <c r="M87" s="557"/>
      <c r="N87" s="557"/>
      <c r="O87" s="557"/>
      <c r="P87" s="557"/>
      <c r="Q87" s="557"/>
      <c r="R87" s="557"/>
    </row>
    <row r="88" spans="4:18" x14ac:dyDescent="0.2">
      <c r="D88" s="557"/>
      <c r="E88" s="557"/>
      <c r="F88" s="557"/>
      <c r="G88" s="557"/>
      <c r="H88" s="557"/>
      <c r="I88" s="557"/>
      <c r="J88" s="557"/>
      <c r="K88" s="557"/>
      <c r="L88" s="557"/>
      <c r="M88" s="557"/>
      <c r="N88" s="557"/>
      <c r="O88" s="557"/>
      <c r="P88" s="557"/>
      <c r="Q88" s="557"/>
      <c r="R88" s="557"/>
    </row>
    <row r="89" spans="4:18" x14ac:dyDescent="0.2">
      <c r="D89" s="557"/>
      <c r="E89" s="557"/>
      <c r="F89" s="557"/>
      <c r="G89" s="557"/>
      <c r="H89" s="557"/>
      <c r="I89" s="557"/>
      <c r="J89" s="557"/>
      <c r="K89" s="557"/>
      <c r="L89" s="557"/>
      <c r="M89" s="557"/>
      <c r="N89" s="557"/>
      <c r="O89" s="557"/>
      <c r="P89" s="557"/>
      <c r="Q89" s="557"/>
      <c r="R89" s="557"/>
    </row>
    <row r="90" spans="4:18" x14ac:dyDescent="0.2">
      <c r="D90" s="557"/>
      <c r="E90" s="557"/>
      <c r="F90" s="557"/>
      <c r="G90" s="557"/>
      <c r="H90" s="557"/>
      <c r="I90" s="557"/>
      <c r="J90" s="557"/>
      <c r="K90" s="557"/>
      <c r="L90" s="557"/>
      <c r="M90" s="557"/>
      <c r="N90" s="557"/>
      <c r="O90" s="557"/>
      <c r="P90" s="557"/>
      <c r="Q90" s="557"/>
      <c r="R90" s="557"/>
    </row>
    <row r="91" spans="4:18" x14ac:dyDescent="0.2">
      <c r="D91" s="557"/>
      <c r="E91" s="557"/>
      <c r="F91" s="557"/>
      <c r="G91" s="557"/>
      <c r="H91" s="557"/>
      <c r="I91" s="557"/>
      <c r="J91" s="557"/>
      <c r="K91" s="557"/>
      <c r="L91" s="557"/>
      <c r="M91" s="557"/>
      <c r="N91" s="557"/>
      <c r="O91" s="557"/>
      <c r="P91" s="557"/>
      <c r="Q91" s="557"/>
      <c r="R91" s="557"/>
    </row>
    <row r="92" spans="4:18" x14ac:dyDescent="0.2">
      <c r="D92" s="557"/>
      <c r="E92" s="557"/>
      <c r="F92" s="557"/>
      <c r="G92" s="557"/>
      <c r="H92" s="557"/>
      <c r="I92" s="557"/>
      <c r="J92" s="557"/>
      <c r="K92" s="557"/>
      <c r="L92" s="557"/>
      <c r="M92" s="557"/>
      <c r="N92" s="557"/>
      <c r="O92" s="557"/>
      <c r="P92" s="557"/>
      <c r="Q92" s="557"/>
      <c r="R92" s="557"/>
    </row>
    <row r="93" spans="4:18" x14ac:dyDescent="0.2">
      <c r="D93" s="557"/>
      <c r="E93" s="557"/>
      <c r="F93" s="557"/>
      <c r="G93" s="557"/>
      <c r="H93" s="557"/>
      <c r="I93" s="557"/>
      <c r="J93" s="557"/>
      <c r="K93" s="557"/>
      <c r="L93" s="557"/>
      <c r="M93" s="557"/>
      <c r="N93" s="557"/>
      <c r="O93" s="557"/>
      <c r="P93" s="557"/>
      <c r="Q93" s="557"/>
      <c r="R93" s="557"/>
    </row>
    <row r="94" spans="4:18" x14ac:dyDescent="0.2">
      <c r="D94" s="557"/>
      <c r="E94" s="557"/>
      <c r="F94" s="557"/>
      <c r="G94" s="557"/>
      <c r="H94" s="557"/>
      <c r="I94" s="557"/>
      <c r="J94" s="557"/>
      <c r="K94" s="557"/>
      <c r="L94" s="557"/>
      <c r="M94" s="557"/>
      <c r="N94" s="557"/>
      <c r="O94" s="557"/>
      <c r="P94" s="557"/>
      <c r="Q94" s="557"/>
      <c r="R94" s="557"/>
    </row>
    <row r="95" spans="4:18" x14ac:dyDescent="0.2">
      <c r="D95" s="557"/>
      <c r="E95" s="557"/>
      <c r="F95" s="557"/>
      <c r="G95" s="557"/>
      <c r="H95" s="557"/>
      <c r="I95" s="557"/>
      <c r="J95" s="557"/>
      <c r="K95" s="557"/>
      <c r="L95" s="557"/>
      <c r="M95" s="557"/>
      <c r="N95" s="557"/>
      <c r="O95" s="557"/>
      <c r="P95" s="557"/>
      <c r="Q95" s="557"/>
      <c r="R95" s="557"/>
    </row>
    <row r="96" spans="4:18" x14ac:dyDescent="0.2">
      <c r="D96" s="557"/>
      <c r="E96" s="557"/>
      <c r="F96" s="557"/>
      <c r="G96" s="557"/>
      <c r="H96" s="557"/>
      <c r="I96" s="557"/>
      <c r="J96" s="557"/>
      <c r="K96" s="557"/>
      <c r="L96" s="557"/>
      <c r="M96" s="557"/>
      <c r="N96" s="557"/>
      <c r="O96" s="557"/>
      <c r="P96" s="557"/>
      <c r="Q96" s="557"/>
      <c r="R96" s="557"/>
    </row>
    <row r="97" spans="4:18" x14ac:dyDescent="0.2">
      <c r="D97" s="557"/>
      <c r="E97" s="557"/>
      <c r="F97" s="557"/>
      <c r="G97" s="557"/>
      <c r="H97" s="557"/>
      <c r="I97" s="557"/>
      <c r="J97" s="557"/>
      <c r="K97" s="557"/>
      <c r="L97" s="557"/>
      <c r="M97" s="557"/>
      <c r="N97" s="557"/>
      <c r="O97" s="557"/>
      <c r="P97" s="557"/>
      <c r="Q97" s="557"/>
      <c r="R97" s="557"/>
    </row>
    <row r="98" spans="4:18" x14ac:dyDescent="0.2">
      <c r="D98" s="557"/>
      <c r="E98" s="557"/>
      <c r="F98" s="557"/>
      <c r="G98" s="557"/>
      <c r="H98" s="557"/>
      <c r="I98" s="557"/>
      <c r="J98" s="557"/>
      <c r="K98" s="557"/>
      <c r="L98" s="557"/>
      <c r="M98" s="557"/>
      <c r="N98" s="557"/>
      <c r="O98" s="557"/>
      <c r="P98" s="557"/>
      <c r="Q98" s="557"/>
      <c r="R98" s="557"/>
    </row>
    <row r="99" spans="4:18" x14ac:dyDescent="0.2">
      <c r="D99" s="557"/>
      <c r="E99" s="557"/>
      <c r="F99" s="557"/>
      <c r="G99" s="557"/>
      <c r="H99" s="557"/>
      <c r="I99" s="557"/>
      <c r="J99" s="557"/>
      <c r="K99" s="557"/>
      <c r="L99" s="557"/>
      <c r="M99" s="557"/>
      <c r="N99" s="557"/>
      <c r="O99" s="557"/>
      <c r="P99" s="557"/>
      <c r="Q99" s="557"/>
      <c r="R99" s="557"/>
    </row>
    <row r="100" spans="4:18" x14ac:dyDescent="0.2">
      <c r="D100" s="557"/>
      <c r="E100" s="557"/>
      <c r="F100" s="557"/>
      <c r="G100" s="557"/>
      <c r="H100" s="557"/>
      <c r="I100" s="557"/>
      <c r="J100" s="557"/>
      <c r="K100" s="557"/>
      <c r="L100" s="557"/>
      <c r="M100" s="557"/>
      <c r="N100" s="557"/>
      <c r="O100" s="557"/>
      <c r="P100" s="557"/>
      <c r="Q100" s="557"/>
      <c r="R100" s="557"/>
    </row>
    <row r="101" spans="4:18" x14ac:dyDescent="0.2">
      <c r="D101" s="557"/>
      <c r="E101" s="557"/>
      <c r="F101" s="557"/>
      <c r="G101" s="557"/>
      <c r="H101" s="557"/>
      <c r="I101" s="557"/>
      <c r="J101" s="557"/>
      <c r="K101" s="557"/>
      <c r="L101" s="557"/>
      <c r="M101" s="557"/>
      <c r="N101" s="557"/>
      <c r="O101" s="557"/>
      <c r="P101" s="557"/>
      <c r="Q101" s="557"/>
      <c r="R101" s="557"/>
    </row>
    <row r="102" spans="4:18" x14ac:dyDescent="0.2">
      <c r="D102" s="557"/>
      <c r="E102" s="557"/>
      <c r="F102" s="557"/>
      <c r="G102" s="557"/>
      <c r="H102" s="557"/>
      <c r="I102" s="557"/>
      <c r="J102" s="557"/>
      <c r="K102" s="557"/>
      <c r="L102" s="557"/>
      <c r="M102" s="557"/>
      <c r="N102" s="557"/>
      <c r="O102" s="557"/>
      <c r="P102" s="557"/>
      <c r="Q102" s="557"/>
      <c r="R102" s="557"/>
    </row>
    <row r="103" spans="4:18" x14ac:dyDescent="0.2">
      <c r="D103" s="557"/>
      <c r="E103" s="557"/>
      <c r="F103" s="557"/>
      <c r="G103" s="557"/>
      <c r="H103" s="557"/>
      <c r="I103" s="557"/>
      <c r="J103" s="557"/>
      <c r="K103" s="557"/>
      <c r="L103" s="557"/>
      <c r="M103" s="557"/>
      <c r="N103" s="557"/>
      <c r="O103" s="557"/>
      <c r="P103" s="557"/>
      <c r="Q103" s="557"/>
      <c r="R103" s="557"/>
    </row>
    <row r="104" spans="4:18" x14ac:dyDescent="0.2">
      <c r="D104" s="557"/>
      <c r="E104" s="557"/>
      <c r="F104" s="557"/>
      <c r="G104" s="557"/>
      <c r="H104" s="557"/>
      <c r="I104" s="557"/>
      <c r="J104" s="557"/>
      <c r="K104" s="557"/>
      <c r="L104" s="557"/>
      <c r="M104" s="557"/>
      <c r="N104" s="557"/>
      <c r="O104" s="557"/>
      <c r="P104" s="557"/>
      <c r="Q104" s="557"/>
      <c r="R104" s="557"/>
    </row>
    <row r="105" spans="4:18" x14ac:dyDescent="0.2">
      <c r="D105" s="557"/>
      <c r="E105" s="557"/>
      <c r="F105" s="557"/>
      <c r="G105" s="557"/>
      <c r="H105" s="557"/>
      <c r="I105" s="557"/>
      <c r="J105" s="557"/>
      <c r="K105" s="557"/>
      <c r="L105" s="557"/>
      <c r="M105" s="557"/>
      <c r="N105" s="557"/>
      <c r="O105" s="557"/>
      <c r="P105" s="557"/>
      <c r="Q105" s="557"/>
      <c r="R105" s="557"/>
    </row>
    <row r="106" spans="4:18" x14ac:dyDescent="0.2">
      <c r="D106" s="557"/>
      <c r="E106" s="557"/>
      <c r="F106" s="557"/>
      <c r="G106" s="557"/>
      <c r="H106" s="557"/>
      <c r="I106" s="557"/>
      <c r="J106" s="557"/>
      <c r="K106" s="557"/>
      <c r="L106" s="557"/>
      <c r="M106" s="557"/>
      <c r="N106" s="557"/>
      <c r="O106" s="557"/>
      <c r="P106" s="557"/>
      <c r="Q106" s="557"/>
      <c r="R106" s="557"/>
    </row>
    <row r="107" spans="4:18" x14ac:dyDescent="0.2">
      <c r="D107" s="557"/>
      <c r="E107" s="557"/>
      <c r="F107" s="557"/>
      <c r="G107" s="557"/>
      <c r="H107" s="557"/>
      <c r="I107" s="557"/>
      <c r="J107" s="557"/>
      <c r="K107" s="557"/>
      <c r="L107" s="557"/>
      <c r="M107" s="557"/>
      <c r="N107" s="557"/>
      <c r="O107" s="557"/>
      <c r="P107" s="557"/>
      <c r="Q107" s="557"/>
      <c r="R107" s="557"/>
    </row>
  </sheetData>
  <mergeCells count="10">
    <mergeCell ref="G3:I3"/>
    <mergeCell ref="J3:L3"/>
    <mergeCell ref="M3:O3"/>
    <mergeCell ref="P3:R3"/>
    <mergeCell ref="A2:C2"/>
    <mergeCell ref="D2:E2"/>
    <mergeCell ref="A3:A4"/>
    <mergeCell ref="B3:B4"/>
    <mergeCell ref="C3:C4"/>
    <mergeCell ref="D3:F3"/>
  </mergeCells>
  <pageMargins left="0.23622047244094491" right="0.27559055118110237" top="0.94488188976377963" bottom="0.31496062992125984" header="0.27559055118110237" footer="0.15748031496062992"/>
  <pageSetup paperSize="9" scale="57" orientation="landscape" r:id="rId1"/>
  <headerFooter alignWithMargins="0">
    <oddHeader>&amp;C&amp;"Arial CE,Félkövér"&amp;12 11/2019. (V.17.)  számú költségvetési rendelethez
Zalakaros Város Önkormányzat eredménykimutatása 2018. év december 31-én
&amp;R&amp;A
&amp;P.oldal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P10"/>
  <sheetViews>
    <sheetView view="pageLayout" topLeftCell="A4" zoomScaleNormal="100" workbookViewId="0">
      <selection activeCell="O10" sqref="O10"/>
    </sheetView>
  </sheetViews>
  <sheetFormatPr defaultColWidth="9.140625" defaultRowHeight="12.75" x14ac:dyDescent="0.2"/>
  <cols>
    <col min="1" max="1" width="8.85546875" style="23" customWidth="1"/>
    <col min="2" max="2" width="8.140625" style="23" customWidth="1"/>
    <col min="3" max="3" width="8.28515625" style="23" customWidth="1"/>
    <col min="4" max="4" width="48.42578125" style="23" customWidth="1"/>
    <col min="5" max="5" width="13.28515625" style="23" customWidth="1"/>
    <col min="6" max="6" width="12.7109375" style="23" bestFit="1" customWidth="1"/>
    <col min="7" max="7" width="12.85546875" style="23" customWidth="1"/>
    <col min="8" max="8" width="13.140625" style="23" customWidth="1"/>
    <col min="9" max="9" width="12.7109375" style="23" customWidth="1"/>
    <col min="10" max="10" width="13.85546875" style="23" customWidth="1"/>
    <col min="11" max="11" width="12.85546875" style="23" customWidth="1"/>
    <col min="12" max="15" width="13.42578125" style="23" customWidth="1"/>
    <col min="16" max="16" width="15.28515625" style="23" customWidth="1"/>
    <col min="17" max="16384" width="9.140625" style="23"/>
  </cols>
  <sheetData>
    <row r="2" spans="1:16" ht="16.5" customHeight="1" x14ac:dyDescent="0.2">
      <c r="A2" s="965" t="s">
        <v>0</v>
      </c>
      <c r="B2" s="968" t="s">
        <v>40</v>
      </c>
      <c r="C2" s="969"/>
      <c r="D2" s="970"/>
      <c r="E2" s="962" t="s">
        <v>581</v>
      </c>
      <c r="F2" s="981"/>
      <c r="G2" s="981"/>
      <c r="H2" s="981"/>
      <c r="I2" s="981"/>
      <c r="J2" s="981"/>
      <c r="K2" s="981"/>
      <c r="L2" s="981"/>
      <c r="M2" s="981"/>
      <c r="N2" s="981"/>
      <c r="O2" s="981"/>
      <c r="P2" s="981"/>
    </row>
    <row r="3" spans="1:16" ht="17.25" customHeight="1" x14ac:dyDescent="0.2">
      <c r="A3" s="966"/>
      <c r="B3" s="971"/>
      <c r="C3" s="972"/>
      <c r="D3" s="973"/>
      <c r="E3" s="963"/>
      <c r="F3" s="349">
        <v>2019</v>
      </c>
      <c r="G3" s="349">
        <v>2020</v>
      </c>
      <c r="H3" s="349">
        <v>2021</v>
      </c>
      <c r="I3" s="349">
        <v>2022</v>
      </c>
      <c r="J3" s="349">
        <v>2023</v>
      </c>
      <c r="K3" s="349">
        <v>2024</v>
      </c>
      <c r="L3" s="349">
        <v>2025</v>
      </c>
      <c r="M3" s="484">
        <v>2026</v>
      </c>
      <c r="N3" s="484">
        <v>2027</v>
      </c>
      <c r="O3" s="484">
        <v>2028</v>
      </c>
      <c r="P3" s="958" t="s">
        <v>60</v>
      </c>
    </row>
    <row r="4" spans="1:16" ht="12" customHeight="1" x14ac:dyDescent="0.2">
      <c r="A4" s="967"/>
      <c r="B4" s="974"/>
      <c r="C4" s="975"/>
      <c r="D4" s="976"/>
      <c r="E4" s="964"/>
      <c r="F4" s="958"/>
      <c r="G4" s="958"/>
      <c r="H4" s="958"/>
      <c r="I4" s="958"/>
      <c r="J4" s="958"/>
      <c r="K4" s="958"/>
      <c r="L4" s="958"/>
      <c r="M4" s="484"/>
      <c r="N4" s="484"/>
      <c r="O4" s="484"/>
      <c r="P4" s="958"/>
    </row>
    <row r="5" spans="1:16" ht="35.1" customHeight="1" x14ac:dyDescent="0.2">
      <c r="A5" s="195" t="s">
        <v>2</v>
      </c>
      <c r="B5" s="980" t="s">
        <v>352</v>
      </c>
      <c r="C5" s="980"/>
      <c r="D5" s="980"/>
      <c r="E5" s="196">
        <v>10000000</v>
      </c>
      <c r="F5" s="196">
        <v>10000000</v>
      </c>
      <c r="G5" s="196">
        <v>10000000</v>
      </c>
      <c r="H5" s="196">
        <v>10000000</v>
      </c>
      <c r="I5" s="196">
        <v>10000000</v>
      </c>
      <c r="J5" s="196">
        <v>10000000</v>
      </c>
      <c r="K5" s="196">
        <v>10000000</v>
      </c>
      <c r="L5" s="196">
        <v>10000000</v>
      </c>
      <c r="M5" s="196">
        <v>0</v>
      </c>
      <c r="N5" s="196">
        <v>0</v>
      </c>
      <c r="O5" s="196">
        <v>0</v>
      </c>
      <c r="P5" s="197">
        <f>SUM(E5:O5)</f>
        <v>80000000</v>
      </c>
    </row>
    <row r="6" spans="1:16" ht="35.1" customHeight="1" x14ac:dyDescent="0.2">
      <c r="A6" s="195" t="s">
        <v>4</v>
      </c>
      <c r="B6" s="980" t="s">
        <v>349</v>
      </c>
      <c r="C6" s="980"/>
      <c r="D6" s="980"/>
      <c r="E6" s="196">
        <v>1945000</v>
      </c>
      <c r="F6" s="196">
        <v>1690000</v>
      </c>
      <c r="G6" s="196">
        <v>1440000</v>
      </c>
      <c r="H6" s="196">
        <v>1180000</v>
      </c>
      <c r="I6" s="196">
        <v>925000</v>
      </c>
      <c r="J6" s="196">
        <v>670000</v>
      </c>
      <c r="K6" s="196">
        <v>415000</v>
      </c>
      <c r="L6" s="196">
        <v>160000</v>
      </c>
      <c r="M6" s="196">
        <v>0</v>
      </c>
      <c r="N6" s="196">
        <v>0</v>
      </c>
      <c r="O6" s="196">
        <v>0</v>
      </c>
      <c r="P6" s="197">
        <f>SUM(E6:O6)</f>
        <v>8425000</v>
      </c>
    </row>
    <row r="7" spans="1:16" ht="35.1" customHeight="1" x14ac:dyDescent="0.2">
      <c r="A7" s="195" t="s">
        <v>5</v>
      </c>
      <c r="B7" s="977" t="s">
        <v>494</v>
      </c>
      <c r="C7" s="978"/>
      <c r="D7" s="979"/>
      <c r="E7" s="196">
        <v>3820000</v>
      </c>
      <c r="F7" s="196"/>
      <c r="G7" s="196"/>
      <c r="H7" s="196"/>
      <c r="I7" s="196"/>
      <c r="J7" s="196"/>
      <c r="K7" s="196"/>
      <c r="L7" s="196"/>
      <c r="M7" s="196"/>
      <c r="N7" s="196"/>
      <c r="O7" s="196">
        <v>0</v>
      </c>
      <c r="P7" s="197">
        <f>SUM(E7:L7)</f>
        <v>3820000</v>
      </c>
    </row>
    <row r="8" spans="1:16" ht="35.1" customHeight="1" x14ac:dyDescent="0.2">
      <c r="A8" s="195" t="s">
        <v>6</v>
      </c>
      <c r="B8" s="977" t="s">
        <v>821</v>
      </c>
      <c r="C8" s="978"/>
      <c r="D8" s="979"/>
      <c r="E8" s="196">
        <v>0</v>
      </c>
      <c r="F8" s="196">
        <v>6000000</v>
      </c>
      <c r="G8" s="196">
        <v>6000000</v>
      </c>
      <c r="H8" s="196">
        <v>6000000</v>
      </c>
      <c r="I8" s="196">
        <v>6000000</v>
      </c>
      <c r="J8" s="196">
        <v>6000000</v>
      </c>
      <c r="K8" s="196">
        <v>6000000</v>
      </c>
      <c r="L8" s="196">
        <v>6000000</v>
      </c>
      <c r="M8" s="196">
        <v>6000000</v>
      </c>
      <c r="N8" s="196">
        <v>6000000</v>
      </c>
      <c r="O8" s="196">
        <v>6000000</v>
      </c>
      <c r="P8" s="197">
        <f>SUM(F8:O8)</f>
        <v>60000000</v>
      </c>
    </row>
    <row r="9" spans="1:16" ht="35.1" customHeight="1" x14ac:dyDescent="0.2">
      <c r="A9" s="195" t="s">
        <v>8</v>
      </c>
      <c r="B9" s="977" t="s">
        <v>822</v>
      </c>
      <c r="C9" s="978"/>
      <c r="D9" s="979"/>
      <c r="E9" s="196">
        <v>0</v>
      </c>
      <c r="F9" s="196">
        <f>19947462-F5-F6-F8</f>
        <v>2257462</v>
      </c>
      <c r="G9" s="196">
        <f>19462862-G5-G6-G8</f>
        <v>2022862</v>
      </c>
      <c r="H9" s="196">
        <f>18968263-H5-H6-H8</f>
        <v>1788263</v>
      </c>
      <c r="I9" s="196">
        <f>18470672-I5-I6-I8</f>
        <v>1545672</v>
      </c>
      <c r="J9" s="196">
        <f>2198438/10*6</f>
        <v>1319062.7999999998</v>
      </c>
      <c r="K9" s="196">
        <f>1807437/10*6</f>
        <v>1084462.2000000002</v>
      </c>
      <c r="L9" s="196">
        <f>1416438/10*6</f>
        <v>849862.79999999993</v>
      </c>
      <c r="M9" s="196">
        <f>1025438/10*6</f>
        <v>615262.80000000005</v>
      </c>
      <c r="N9" s="196">
        <f>634438/10*6</f>
        <v>380662.80000000005</v>
      </c>
      <c r="O9" s="196">
        <f>243438/10*6</f>
        <v>146062.79999999999</v>
      </c>
      <c r="P9" s="197">
        <f>SUM(F9:O9)</f>
        <v>12009635.200000003</v>
      </c>
    </row>
    <row r="10" spans="1:16" ht="35.1" customHeight="1" x14ac:dyDescent="0.2">
      <c r="A10" s="198"/>
      <c r="B10" s="959" t="s">
        <v>60</v>
      </c>
      <c r="C10" s="960"/>
      <c r="D10" s="961"/>
      <c r="E10" s="197">
        <f>SUM(E5:E9)</f>
        <v>15765000</v>
      </c>
      <c r="F10" s="197">
        <f>SUM(F5:F9)</f>
        <v>19947462</v>
      </c>
      <c r="G10" s="197">
        <f t="shared" ref="G10:P10" si="0">SUM(G5:G9)</f>
        <v>19462862</v>
      </c>
      <c r="H10" s="197">
        <f t="shared" si="0"/>
        <v>18968263</v>
      </c>
      <c r="I10" s="197">
        <f t="shared" si="0"/>
        <v>18470672</v>
      </c>
      <c r="J10" s="197">
        <f t="shared" si="0"/>
        <v>17989062.800000001</v>
      </c>
      <c r="K10" s="197">
        <f t="shared" si="0"/>
        <v>17499462.199999999</v>
      </c>
      <c r="L10" s="197">
        <f t="shared" si="0"/>
        <v>17009862.800000001</v>
      </c>
      <c r="M10" s="197">
        <f t="shared" si="0"/>
        <v>6615262.7999999998</v>
      </c>
      <c r="N10" s="197">
        <f t="shared" si="0"/>
        <v>6380662.7999999998</v>
      </c>
      <c r="O10" s="197">
        <f t="shared" si="0"/>
        <v>6146062.7999999998</v>
      </c>
      <c r="P10" s="197">
        <f t="shared" si="0"/>
        <v>164254635.19999999</v>
      </c>
    </row>
  </sheetData>
  <mergeCells count="12">
    <mergeCell ref="F4:L4"/>
    <mergeCell ref="P3:P4"/>
    <mergeCell ref="B10:D10"/>
    <mergeCell ref="E2:E4"/>
    <mergeCell ref="A2:A4"/>
    <mergeCell ref="B2:D4"/>
    <mergeCell ref="B7:D7"/>
    <mergeCell ref="B5:D5"/>
    <mergeCell ref="B6:D6"/>
    <mergeCell ref="F2:P2"/>
    <mergeCell ref="B8:D8"/>
    <mergeCell ref="B9:D9"/>
  </mergeCells>
  <phoneticPr fontId="8" type="noConversion"/>
  <printOptions horizontalCentered="1"/>
  <pageMargins left="0.23622047244094491" right="0.23622047244094491" top="1.5354330708661419" bottom="0.19685039370078741" header="0.43307086614173229" footer="0.19685039370078741"/>
  <pageSetup paperSize="9" scale="62" orientation="landscape" r:id="rId1"/>
  <headerFooter alignWithMargins="0">
    <oddHeader>&amp;C&amp;"Garamond,Félkövér"&amp;14 11/2019. (V.17.) számú költségvetési rendelethez
ZALAKAROS VÁROS ÖNKORMÁNYZAT 
TÖBB ÉVES KIHATÁSSAL JÁRÓ ELŐIRÁNYZATA ÉVES BONTÁSBAN&amp;R&amp;A
&amp;P.oldal
forintban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43"/>
  <sheetViews>
    <sheetView view="pageLayout" topLeftCell="A7" zoomScaleNormal="100" zoomScaleSheetLayoutView="100" workbookViewId="0">
      <selection activeCell="C7" sqref="C7:F7"/>
    </sheetView>
  </sheetViews>
  <sheetFormatPr defaultRowHeight="12.75" x14ac:dyDescent="0.2"/>
  <cols>
    <col min="1" max="1" width="9" customWidth="1"/>
    <col min="2" max="2" width="56" customWidth="1"/>
    <col min="3" max="3" width="16.42578125" customWidth="1"/>
    <col min="4" max="4" width="15.28515625" customWidth="1"/>
    <col min="5" max="5" width="16" customWidth="1"/>
    <col min="6" max="6" width="14.42578125" customWidth="1"/>
    <col min="7" max="7" width="16.42578125" style="609" customWidth="1"/>
    <col min="257" max="257" width="9" customWidth="1"/>
    <col min="258" max="258" width="56" customWidth="1"/>
    <col min="259" max="259" width="16.42578125" customWidth="1"/>
    <col min="260" max="260" width="15.28515625" customWidth="1"/>
    <col min="261" max="262" width="14.42578125" customWidth="1"/>
    <col min="263" max="263" width="16.42578125" customWidth="1"/>
    <col min="513" max="513" width="9" customWidth="1"/>
    <col min="514" max="514" width="56" customWidth="1"/>
    <col min="515" max="515" width="16.42578125" customWidth="1"/>
    <col min="516" max="516" width="15.28515625" customWidth="1"/>
    <col min="517" max="518" width="14.42578125" customWidth="1"/>
    <col min="519" max="519" width="16.42578125" customWidth="1"/>
    <col min="769" max="769" width="9" customWidth="1"/>
    <col min="770" max="770" width="56" customWidth="1"/>
    <col min="771" max="771" width="16.42578125" customWidth="1"/>
    <col min="772" max="772" width="15.28515625" customWidth="1"/>
    <col min="773" max="774" width="14.42578125" customWidth="1"/>
    <col min="775" max="775" width="16.42578125" customWidth="1"/>
    <col min="1025" max="1025" width="9" customWidth="1"/>
    <col min="1026" max="1026" width="56" customWidth="1"/>
    <col min="1027" max="1027" width="16.42578125" customWidth="1"/>
    <col min="1028" max="1028" width="15.28515625" customWidth="1"/>
    <col min="1029" max="1030" width="14.42578125" customWidth="1"/>
    <col min="1031" max="1031" width="16.42578125" customWidth="1"/>
    <col min="1281" max="1281" width="9" customWidth="1"/>
    <col min="1282" max="1282" width="56" customWidth="1"/>
    <col min="1283" max="1283" width="16.42578125" customWidth="1"/>
    <col min="1284" max="1284" width="15.28515625" customWidth="1"/>
    <col min="1285" max="1286" width="14.42578125" customWidth="1"/>
    <col min="1287" max="1287" width="16.42578125" customWidth="1"/>
    <col min="1537" max="1537" width="9" customWidth="1"/>
    <col min="1538" max="1538" width="56" customWidth="1"/>
    <col min="1539" max="1539" width="16.42578125" customWidth="1"/>
    <col min="1540" max="1540" width="15.28515625" customWidth="1"/>
    <col min="1541" max="1542" width="14.42578125" customWidth="1"/>
    <col min="1543" max="1543" width="16.42578125" customWidth="1"/>
    <col min="1793" max="1793" width="9" customWidth="1"/>
    <col min="1794" max="1794" width="56" customWidth="1"/>
    <col min="1795" max="1795" width="16.42578125" customWidth="1"/>
    <col min="1796" max="1796" width="15.28515625" customWidth="1"/>
    <col min="1797" max="1798" width="14.42578125" customWidth="1"/>
    <col min="1799" max="1799" width="16.42578125" customWidth="1"/>
    <col min="2049" max="2049" width="9" customWidth="1"/>
    <col min="2050" max="2050" width="56" customWidth="1"/>
    <col min="2051" max="2051" width="16.42578125" customWidth="1"/>
    <col min="2052" max="2052" width="15.28515625" customWidth="1"/>
    <col min="2053" max="2054" width="14.42578125" customWidth="1"/>
    <col min="2055" max="2055" width="16.42578125" customWidth="1"/>
    <col min="2305" max="2305" width="9" customWidth="1"/>
    <col min="2306" max="2306" width="56" customWidth="1"/>
    <col min="2307" max="2307" width="16.42578125" customWidth="1"/>
    <col min="2308" max="2308" width="15.28515625" customWidth="1"/>
    <col min="2309" max="2310" width="14.42578125" customWidth="1"/>
    <col min="2311" max="2311" width="16.42578125" customWidth="1"/>
    <col min="2561" max="2561" width="9" customWidth="1"/>
    <col min="2562" max="2562" width="56" customWidth="1"/>
    <col min="2563" max="2563" width="16.42578125" customWidth="1"/>
    <col min="2564" max="2564" width="15.28515625" customWidth="1"/>
    <col min="2565" max="2566" width="14.42578125" customWidth="1"/>
    <col min="2567" max="2567" width="16.42578125" customWidth="1"/>
    <col min="2817" max="2817" width="9" customWidth="1"/>
    <col min="2818" max="2818" width="56" customWidth="1"/>
    <col min="2819" max="2819" width="16.42578125" customWidth="1"/>
    <col min="2820" max="2820" width="15.28515625" customWidth="1"/>
    <col min="2821" max="2822" width="14.42578125" customWidth="1"/>
    <col min="2823" max="2823" width="16.42578125" customWidth="1"/>
    <col min="3073" max="3073" width="9" customWidth="1"/>
    <col min="3074" max="3074" width="56" customWidth="1"/>
    <col min="3075" max="3075" width="16.42578125" customWidth="1"/>
    <col min="3076" max="3076" width="15.28515625" customWidth="1"/>
    <col min="3077" max="3078" width="14.42578125" customWidth="1"/>
    <col min="3079" max="3079" width="16.42578125" customWidth="1"/>
    <col min="3329" max="3329" width="9" customWidth="1"/>
    <col min="3330" max="3330" width="56" customWidth="1"/>
    <col min="3331" max="3331" width="16.42578125" customWidth="1"/>
    <col min="3332" max="3332" width="15.28515625" customWidth="1"/>
    <col min="3333" max="3334" width="14.42578125" customWidth="1"/>
    <col min="3335" max="3335" width="16.42578125" customWidth="1"/>
    <col min="3585" max="3585" width="9" customWidth="1"/>
    <col min="3586" max="3586" width="56" customWidth="1"/>
    <col min="3587" max="3587" width="16.42578125" customWidth="1"/>
    <col min="3588" max="3588" width="15.28515625" customWidth="1"/>
    <col min="3589" max="3590" width="14.42578125" customWidth="1"/>
    <col min="3591" max="3591" width="16.42578125" customWidth="1"/>
    <col min="3841" max="3841" width="9" customWidth="1"/>
    <col min="3842" max="3842" width="56" customWidth="1"/>
    <col min="3843" max="3843" width="16.42578125" customWidth="1"/>
    <col min="3844" max="3844" width="15.28515625" customWidth="1"/>
    <col min="3845" max="3846" width="14.42578125" customWidth="1"/>
    <col min="3847" max="3847" width="16.42578125" customWidth="1"/>
    <col min="4097" max="4097" width="9" customWidth="1"/>
    <col min="4098" max="4098" width="56" customWidth="1"/>
    <col min="4099" max="4099" width="16.42578125" customWidth="1"/>
    <col min="4100" max="4100" width="15.28515625" customWidth="1"/>
    <col min="4101" max="4102" width="14.42578125" customWidth="1"/>
    <col min="4103" max="4103" width="16.42578125" customWidth="1"/>
    <col min="4353" max="4353" width="9" customWidth="1"/>
    <col min="4354" max="4354" width="56" customWidth="1"/>
    <col min="4355" max="4355" width="16.42578125" customWidth="1"/>
    <col min="4356" max="4356" width="15.28515625" customWidth="1"/>
    <col min="4357" max="4358" width="14.42578125" customWidth="1"/>
    <col min="4359" max="4359" width="16.42578125" customWidth="1"/>
    <col min="4609" max="4609" width="9" customWidth="1"/>
    <col min="4610" max="4610" width="56" customWidth="1"/>
    <col min="4611" max="4611" width="16.42578125" customWidth="1"/>
    <col min="4612" max="4612" width="15.28515625" customWidth="1"/>
    <col min="4613" max="4614" width="14.42578125" customWidth="1"/>
    <col min="4615" max="4615" width="16.42578125" customWidth="1"/>
    <col min="4865" max="4865" width="9" customWidth="1"/>
    <col min="4866" max="4866" width="56" customWidth="1"/>
    <col min="4867" max="4867" width="16.42578125" customWidth="1"/>
    <col min="4868" max="4868" width="15.28515625" customWidth="1"/>
    <col min="4869" max="4870" width="14.42578125" customWidth="1"/>
    <col min="4871" max="4871" width="16.42578125" customWidth="1"/>
    <col min="5121" max="5121" width="9" customWidth="1"/>
    <col min="5122" max="5122" width="56" customWidth="1"/>
    <col min="5123" max="5123" width="16.42578125" customWidth="1"/>
    <col min="5124" max="5124" width="15.28515625" customWidth="1"/>
    <col min="5125" max="5126" width="14.42578125" customWidth="1"/>
    <col min="5127" max="5127" width="16.42578125" customWidth="1"/>
    <col min="5377" max="5377" width="9" customWidth="1"/>
    <col min="5378" max="5378" width="56" customWidth="1"/>
    <col min="5379" max="5379" width="16.42578125" customWidth="1"/>
    <col min="5380" max="5380" width="15.28515625" customWidth="1"/>
    <col min="5381" max="5382" width="14.42578125" customWidth="1"/>
    <col min="5383" max="5383" width="16.42578125" customWidth="1"/>
    <col min="5633" max="5633" width="9" customWidth="1"/>
    <col min="5634" max="5634" width="56" customWidth="1"/>
    <col min="5635" max="5635" width="16.42578125" customWidth="1"/>
    <col min="5636" max="5636" width="15.28515625" customWidth="1"/>
    <col min="5637" max="5638" width="14.42578125" customWidth="1"/>
    <col min="5639" max="5639" width="16.42578125" customWidth="1"/>
    <col min="5889" max="5889" width="9" customWidth="1"/>
    <col min="5890" max="5890" width="56" customWidth="1"/>
    <col min="5891" max="5891" width="16.42578125" customWidth="1"/>
    <col min="5892" max="5892" width="15.28515625" customWidth="1"/>
    <col min="5893" max="5894" width="14.42578125" customWidth="1"/>
    <col min="5895" max="5895" width="16.42578125" customWidth="1"/>
    <col min="6145" max="6145" width="9" customWidth="1"/>
    <col min="6146" max="6146" width="56" customWidth="1"/>
    <col min="6147" max="6147" width="16.42578125" customWidth="1"/>
    <col min="6148" max="6148" width="15.28515625" customWidth="1"/>
    <col min="6149" max="6150" width="14.42578125" customWidth="1"/>
    <col min="6151" max="6151" width="16.42578125" customWidth="1"/>
    <col min="6401" max="6401" width="9" customWidth="1"/>
    <col min="6402" max="6402" width="56" customWidth="1"/>
    <col min="6403" max="6403" width="16.42578125" customWidth="1"/>
    <col min="6404" max="6404" width="15.28515625" customWidth="1"/>
    <col min="6405" max="6406" width="14.42578125" customWidth="1"/>
    <col min="6407" max="6407" width="16.42578125" customWidth="1"/>
    <col min="6657" max="6657" width="9" customWidth="1"/>
    <col min="6658" max="6658" width="56" customWidth="1"/>
    <col min="6659" max="6659" width="16.42578125" customWidth="1"/>
    <col min="6660" max="6660" width="15.28515625" customWidth="1"/>
    <col min="6661" max="6662" width="14.42578125" customWidth="1"/>
    <col min="6663" max="6663" width="16.42578125" customWidth="1"/>
    <col min="6913" max="6913" width="9" customWidth="1"/>
    <col min="6914" max="6914" width="56" customWidth="1"/>
    <col min="6915" max="6915" width="16.42578125" customWidth="1"/>
    <col min="6916" max="6916" width="15.28515625" customWidth="1"/>
    <col min="6917" max="6918" width="14.42578125" customWidth="1"/>
    <col min="6919" max="6919" width="16.42578125" customWidth="1"/>
    <col min="7169" max="7169" width="9" customWidth="1"/>
    <col min="7170" max="7170" width="56" customWidth="1"/>
    <col min="7171" max="7171" width="16.42578125" customWidth="1"/>
    <col min="7172" max="7172" width="15.28515625" customWidth="1"/>
    <col min="7173" max="7174" width="14.42578125" customWidth="1"/>
    <col min="7175" max="7175" width="16.42578125" customWidth="1"/>
    <col min="7425" max="7425" width="9" customWidth="1"/>
    <col min="7426" max="7426" width="56" customWidth="1"/>
    <col min="7427" max="7427" width="16.42578125" customWidth="1"/>
    <col min="7428" max="7428" width="15.28515625" customWidth="1"/>
    <col min="7429" max="7430" width="14.42578125" customWidth="1"/>
    <col min="7431" max="7431" width="16.42578125" customWidth="1"/>
    <col min="7681" max="7681" width="9" customWidth="1"/>
    <col min="7682" max="7682" width="56" customWidth="1"/>
    <col min="7683" max="7683" width="16.42578125" customWidth="1"/>
    <col min="7684" max="7684" width="15.28515625" customWidth="1"/>
    <col min="7685" max="7686" width="14.42578125" customWidth="1"/>
    <col min="7687" max="7687" width="16.42578125" customWidth="1"/>
    <col min="7937" max="7937" width="9" customWidth="1"/>
    <col min="7938" max="7938" width="56" customWidth="1"/>
    <col min="7939" max="7939" width="16.42578125" customWidth="1"/>
    <col min="7940" max="7940" width="15.28515625" customWidth="1"/>
    <col min="7941" max="7942" width="14.42578125" customWidth="1"/>
    <col min="7943" max="7943" width="16.42578125" customWidth="1"/>
    <col min="8193" max="8193" width="9" customWidth="1"/>
    <col min="8194" max="8194" width="56" customWidth="1"/>
    <col min="8195" max="8195" width="16.42578125" customWidth="1"/>
    <col min="8196" max="8196" width="15.28515625" customWidth="1"/>
    <col min="8197" max="8198" width="14.42578125" customWidth="1"/>
    <col min="8199" max="8199" width="16.42578125" customWidth="1"/>
    <col min="8449" max="8449" width="9" customWidth="1"/>
    <col min="8450" max="8450" width="56" customWidth="1"/>
    <col min="8451" max="8451" width="16.42578125" customWidth="1"/>
    <col min="8452" max="8452" width="15.28515625" customWidth="1"/>
    <col min="8453" max="8454" width="14.42578125" customWidth="1"/>
    <col min="8455" max="8455" width="16.42578125" customWidth="1"/>
    <col min="8705" max="8705" width="9" customWidth="1"/>
    <col min="8706" max="8706" width="56" customWidth="1"/>
    <col min="8707" max="8707" width="16.42578125" customWidth="1"/>
    <col min="8708" max="8708" width="15.28515625" customWidth="1"/>
    <col min="8709" max="8710" width="14.42578125" customWidth="1"/>
    <col min="8711" max="8711" width="16.42578125" customWidth="1"/>
    <col min="8961" max="8961" width="9" customWidth="1"/>
    <col min="8962" max="8962" width="56" customWidth="1"/>
    <col min="8963" max="8963" width="16.42578125" customWidth="1"/>
    <col min="8964" max="8964" width="15.28515625" customWidth="1"/>
    <col min="8965" max="8966" width="14.42578125" customWidth="1"/>
    <col min="8967" max="8967" width="16.42578125" customWidth="1"/>
    <col min="9217" max="9217" width="9" customWidth="1"/>
    <col min="9218" max="9218" width="56" customWidth="1"/>
    <col min="9219" max="9219" width="16.42578125" customWidth="1"/>
    <col min="9220" max="9220" width="15.28515625" customWidth="1"/>
    <col min="9221" max="9222" width="14.42578125" customWidth="1"/>
    <col min="9223" max="9223" width="16.42578125" customWidth="1"/>
    <col min="9473" max="9473" width="9" customWidth="1"/>
    <col min="9474" max="9474" width="56" customWidth="1"/>
    <col min="9475" max="9475" width="16.42578125" customWidth="1"/>
    <col min="9476" max="9476" width="15.28515625" customWidth="1"/>
    <col min="9477" max="9478" width="14.42578125" customWidth="1"/>
    <col min="9479" max="9479" width="16.42578125" customWidth="1"/>
    <col min="9729" max="9729" width="9" customWidth="1"/>
    <col min="9730" max="9730" width="56" customWidth="1"/>
    <col min="9731" max="9731" width="16.42578125" customWidth="1"/>
    <col min="9732" max="9732" width="15.28515625" customWidth="1"/>
    <col min="9733" max="9734" width="14.42578125" customWidth="1"/>
    <col min="9735" max="9735" width="16.42578125" customWidth="1"/>
    <col min="9985" max="9985" width="9" customWidth="1"/>
    <col min="9986" max="9986" width="56" customWidth="1"/>
    <col min="9987" max="9987" width="16.42578125" customWidth="1"/>
    <col min="9988" max="9988" width="15.28515625" customWidth="1"/>
    <col min="9989" max="9990" width="14.42578125" customWidth="1"/>
    <col min="9991" max="9991" width="16.42578125" customWidth="1"/>
    <col min="10241" max="10241" width="9" customWidth="1"/>
    <col min="10242" max="10242" width="56" customWidth="1"/>
    <col min="10243" max="10243" width="16.42578125" customWidth="1"/>
    <col min="10244" max="10244" width="15.28515625" customWidth="1"/>
    <col min="10245" max="10246" width="14.42578125" customWidth="1"/>
    <col min="10247" max="10247" width="16.42578125" customWidth="1"/>
    <col min="10497" max="10497" width="9" customWidth="1"/>
    <col min="10498" max="10498" width="56" customWidth="1"/>
    <col min="10499" max="10499" width="16.42578125" customWidth="1"/>
    <col min="10500" max="10500" width="15.28515625" customWidth="1"/>
    <col min="10501" max="10502" width="14.42578125" customWidth="1"/>
    <col min="10503" max="10503" width="16.42578125" customWidth="1"/>
    <col min="10753" max="10753" width="9" customWidth="1"/>
    <col min="10754" max="10754" width="56" customWidth="1"/>
    <col min="10755" max="10755" width="16.42578125" customWidth="1"/>
    <col min="10756" max="10756" width="15.28515625" customWidth="1"/>
    <col min="10757" max="10758" width="14.42578125" customWidth="1"/>
    <col min="10759" max="10759" width="16.42578125" customWidth="1"/>
    <col min="11009" max="11009" width="9" customWidth="1"/>
    <col min="11010" max="11010" width="56" customWidth="1"/>
    <col min="11011" max="11011" width="16.42578125" customWidth="1"/>
    <col min="11012" max="11012" width="15.28515625" customWidth="1"/>
    <col min="11013" max="11014" width="14.42578125" customWidth="1"/>
    <col min="11015" max="11015" width="16.42578125" customWidth="1"/>
    <col min="11265" max="11265" width="9" customWidth="1"/>
    <col min="11266" max="11266" width="56" customWidth="1"/>
    <col min="11267" max="11267" width="16.42578125" customWidth="1"/>
    <col min="11268" max="11268" width="15.28515625" customWidth="1"/>
    <col min="11269" max="11270" width="14.42578125" customWidth="1"/>
    <col min="11271" max="11271" width="16.42578125" customWidth="1"/>
    <col min="11521" max="11521" width="9" customWidth="1"/>
    <col min="11522" max="11522" width="56" customWidth="1"/>
    <col min="11523" max="11523" width="16.42578125" customWidth="1"/>
    <col min="11524" max="11524" width="15.28515625" customWidth="1"/>
    <col min="11525" max="11526" width="14.42578125" customWidth="1"/>
    <col min="11527" max="11527" width="16.42578125" customWidth="1"/>
    <col min="11777" max="11777" width="9" customWidth="1"/>
    <col min="11778" max="11778" width="56" customWidth="1"/>
    <col min="11779" max="11779" width="16.42578125" customWidth="1"/>
    <col min="11780" max="11780" width="15.28515625" customWidth="1"/>
    <col min="11781" max="11782" width="14.42578125" customWidth="1"/>
    <col min="11783" max="11783" width="16.42578125" customWidth="1"/>
    <col min="12033" max="12033" width="9" customWidth="1"/>
    <col min="12034" max="12034" width="56" customWidth="1"/>
    <col min="12035" max="12035" width="16.42578125" customWidth="1"/>
    <col min="12036" max="12036" width="15.28515625" customWidth="1"/>
    <col min="12037" max="12038" width="14.42578125" customWidth="1"/>
    <col min="12039" max="12039" width="16.42578125" customWidth="1"/>
    <col min="12289" max="12289" width="9" customWidth="1"/>
    <col min="12290" max="12290" width="56" customWidth="1"/>
    <col min="12291" max="12291" width="16.42578125" customWidth="1"/>
    <col min="12292" max="12292" width="15.28515625" customWidth="1"/>
    <col min="12293" max="12294" width="14.42578125" customWidth="1"/>
    <col min="12295" max="12295" width="16.42578125" customWidth="1"/>
    <col min="12545" max="12545" width="9" customWidth="1"/>
    <col min="12546" max="12546" width="56" customWidth="1"/>
    <col min="12547" max="12547" width="16.42578125" customWidth="1"/>
    <col min="12548" max="12548" width="15.28515625" customWidth="1"/>
    <col min="12549" max="12550" width="14.42578125" customWidth="1"/>
    <col min="12551" max="12551" width="16.42578125" customWidth="1"/>
    <col min="12801" max="12801" width="9" customWidth="1"/>
    <col min="12802" max="12802" width="56" customWidth="1"/>
    <col min="12803" max="12803" width="16.42578125" customWidth="1"/>
    <col min="12804" max="12804" width="15.28515625" customWidth="1"/>
    <col min="12805" max="12806" width="14.42578125" customWidth="1"/>
    <col min="12807" max="12807" width="16.42578125" customWidth="1"/>
    <col min="13057" max="13057" width="9" customWidth="1"/>
    <col min="13058" max="13058" width="56" customWidth="1"/>
    <col min="13059" max="13059" width="16.42578125" customWidth="1"/>
    <col min="13060" max="13060" width="15.28515625" customWidth="1"/>
    <col min="13061" max="13062" width="14.42578125" customWidth="1"/>
    <col min="13063" max="13063" width="16.42578125" customWidth="1"/>
    <col min="13313" max="13313" width="9" customWidth="1"/>
    <col min="13314" max="13314" width="56" customWidth="1"/>
    <col min="13315" max="13315" width="16.42578125" customWidth="1"/>
    <col min="13316" max="13316" width="15.28515625" customWidth="1"/>
    <col min="13317" max="13318" width="14.42578125" customWidth="1"/>
    <col min="13319" max="13319" width="16.42578125" customWidth="1"/>
    <col min="13569" max="13569" width="9" customWidth="1"/>
    <col min="13570" max="13570" width="56" customWidth="1"/>
    <col min="13571" max="13571" width="16.42578125" customWidth="1"/>
    <col min="13572" max="13572" width="15.28515625" customWidth="1"/>
    <col min="13573" max="13574" width="14.42578125" customWidth="1"/>
    <col min="13575" max="13575" width="16.42578125" customWidth="1"/>
    <col min="13825" max="13825" width="9" customWidth="1"/>
    <col min="13826" max="13826" width="56" customWidth="1"/>
    <col min="13827" max="13827" width="16.42578125" customWidth="1"/>
    <col min="13828" max="13828" width="15.28515625" customWidth="1"/>
    <col min="13829" max="13830" width="14.42578125" customWidth="1"/>
    <col min="13831" max="13831" width="16.42578125" customWidth="1"/>
    <col min="14081" max="14081" width="9" customWidth="1"/>
    <col min="14082" max="14082" width="56" customWidth="1"/>
    <col min="14083" max="14083" width="16.42578125" customWidth="1"/>
    <col min="14084" max="14084" width="15.28515625" customWidth="1"/>
    <col min="14085" max="14086" width="14.42578125" customWidth="1"/>
    <col min="14087" max="14087" width="16.42578125" customWidth="1"/>
    <col min="14337" max="14337" width="9" customWidth="1"/>
    <col min="14338" max="14338" width="56" customWidth="1"/>
    <col min="14339" max="14339" width="16.42578125" customWidth="1"/>
    <col min="14340" max="14340" width="15.28515625" customWidth="1"/>
    <col min="14341" max="14342" width="14.42578125" customWidth="1"/>
    <col min="14343" max="14343" width="16.42578125" customWidth="1"/>
    <col min="14593" max="14593" width="9" customWidth="1"/>
    <col min="14594" max="14594" width="56" customWidth="1"/>
    <col min="14595" max="14595" width="16.42578125" customWidth="1"/>
    <col min="14596" max="14596" width="15.28515625" customWidth="1"/>
    <col min="14597" max="14598" width="14.42578125" customWidth="1"/>
    <col min="14599" max="14599" width="16.42578125" customWidth="1"/>
    <col min="14849" max="14849" width="9" customWidth="1"/>
    <col min="14850" max="14850" width="56" customWidth="1"/>
    <col min="14851" max="14851" width="16.42578125" customWidth="1"/>
    <col min="14852" max="14852" width="15.28515625" customWidth="1"/>
    <col min="14853" max="14854" width="14.42578125" customWidth="1"/>
    <col min="14855" max="14855" width="16.42578125" customWidth="1"/>
    <col min="15105" max="15105" width="9" customWidth="1"/>
    <col min="15106" max="15106" width="56" customWidth="1"/>
    <col min="15107" max="15107" width="16.42578125" customWidth="1"/>
    <col min="15108" max="15108" width="15.28515625" customWidth="1"/>
    <col min="15109" max="15110" width="14.42578125" customWidth="1"/>
    <col min="15111" max="15111" width="16.42578125" customWidth="1"/>
    <col min="15361" max="15361" width="9" customWidth="1"/>
    <col min="15362" max="15362" width="56" customWidth="1"/>
    <col min="15363" max="15363" width="16.42578125" customWidth="1"/>
    <col min="15364" max="15364" width="15.28515625" customWidth="1"/>
    <col min="15365" max="15366" width="14.42578125" customWidth="1"/>
    <col min="15367" max="15367" width="16.42578125" customWidth="1"/>
    <col min="15617" max="15617" width="9" customWidth="1"/>
    <col min="15618" max="15618" width="56" customWidth="1"/>
    <col min="15619" max="15619" width="16.42578125" customWidth="1"/>
    <col min="15620" max="15620" width="15.28515625" customWidth="1"/>
    <col min="15621" max="15622" width="14.42578125" customWidth="1"/>
    <col min="15623" max="15623" width="16.42578125" customWidth="1"/>
    <col min="15873" max="15873" width="9" customWidth="1"/>
    <col min="15874" max="15874" width="56" customWidth="1"/>
    <col min="15875" max="15875" width="16.42578125" customWidth="1"/>
    <col min="15876" max="15876" width="15.28515625" customWidth="1"/>
    <col min="15877" max="15878" width="14.42578125" customWidth="1"/>
    <col min="15879" max="15879" width="16.42578125" customWidth="1"/>
    <col min="16129" max="16129" width="9" customWidth="1"/>
    <col min="16130" max="16130" width="56" customWidth="1"/>
    <col min="16131" max="16131" width="16.42578125" customWidth="1"/>
    <col min="16132" max="16132" width="15.28515625" customWidth="1"/>
    <col min="16133" max="16134" width="14.42578125" customWidth="1"/>
    <col min="16135" max="16135" width="16.42578125" customWidth="1"/>
  </cols>
  <sheetData>
    <row r="1" spans="1:7" ht="13.5" customHeight="1" x14ac:dyDescent="0.2">
      <c r="A1" s="984" t="s">
        <v>0</v>
      </c>
      <c r="B1" s="986" t="s">
        <v>1</v>
      </c>
      <c r="C1" s="988" t="s">
        <v>959</v>
      </c>
      <c r="D1" s="990" t="s">
        <v>329</v>
      </c>
      <c r="E1" s="992" t="s">
        <v>1003</v>
      </c>
      <c r="F1" s="994" t="s">
        <v>319</v>
      </c>
      <c r="G1" s="982" t="s">
        <v>1004</v>
      </c>
    </row>
    <row r="2" spans="1:7" ht="36.75" customHeight="1" x14ac:dyDescent="0.2">
      <c r="A2" s="985"/>
      <c r="B2" s="987"/>
      <c r="C2" s="989"/>
      <c r="D2" s="991"/>
      <c r="E2" s="993"/>
      <c r="F2" s="993"/>
      <c r="G2" s="983"/>
    </row>
    <row r="3" spans="1:7" ht="24.95" customHeight="1" x14ac:dyDescent="0.2">
      <c r="A3" s="576" t="s">
        <v>2</v>
      </c>
      <c r="B3" s="577" t="s">
        <v>1005</v>
      </c>
      <c r="C3" s="578">
        <v>1800934199</v>
      </c>
      <c r="D3" s="579">
        <v>19840330</v>
      </c>
      <c r="E3" s="579">
        <v>54490680</v>
      </c>
      <c r="F3" s="579">
        <v>40688613</v>
      </c>
      <c r="G3" s="580">
        <f>C3+D3+E3+F3</f>
        <v>1915953822</v>
      </c>
    </row>
    <row r="4" spans="1:7" ht="24.95" customHeight="1" x14ac:dyDescent="0.2">
      <c r="A4" s="576" t="s">
        <v>4</v>
      </c>
      <c r="B4" s="577" t="s">
        <v>1006</v>
      </c>
      <c r="C4" s="578">
        <v>850093515</v>
      </c>
      <c r="D4" s="578">
        <v>141244359</v>
      </c>
      <c r="E4" s="581">
        <v>162713776</v>
      </c>
      <c r="F4" s="581">
        <v>55667090</v>
      </c>
      <c r="G4" s="580">
        <f t="shared" ref="G4:G21" si="0">C4+D4+E4+F4</f>
        <v>1209718740</v>
      </c>
    </row>
    <row r="5" spans="1:7" s="585" customFormat="1" ht="24.95" customHeight="1" x14ac:dyDescent="0.2">
      <c r="A5" s="576" t="s">
        <v>5</v>
      </c>
      <c r="B5" s="582" t="s">
        <v>1007</v>
      </c>
      <c r="C5" s="583">
        <f>C3-C4</f>
        <v>950840684</v>
      </c>
      <c r="D5" s="583">
        <f>D3-D4</f>
        <v>-121404029</v>
      </c>
      <c r="E5" s="583">
        <f>E3-E4</f>
        <v>-108223096</v>
      </c>
      <c r="F5" s="583">
        <f>F3-F4</f>
        <v>-14978477</v>
      </c>
      <c r="G5" s="584">
        <f t="shared" si="0"/>
        <v>706235082</v>
      </c>
    </row>
    <row r="6" spans="1:7" s="585" customFormat="1" ht="24.95" customHeight="1" x14ac:dyDescent="0.2">
      <c r="A6" s="576" t="s">
        <v>6</v>
      </c>
      <c r="B6" s="586" t="s">
        <v>1008</v>
      </c>
      <c r="C6" s="587">
        <v>410557157</v>
      </c>
      <c r="D6" s="587">
        <v>123567847</v>
      </c>
      <c r="E6" s="587">
        <v>111544787</v>
      </c>
      <c r="F6" s="587">
        <v>31267443</v>
      </c>
      <c r="G6" s="580">
        <f t="shared" si="0"/>
        <v>676937234</v>
      </c>
    </row>
    <row r="7" spans="1:7" s="585" customFormat="1" ht="24.95" customHeight="1" x14ac:dyDescent="0.2">
      <c r="A7" s="576" t="s">
        <v>8</v>
      </c>
      <c r="B7" s="588" t="s">
        <v>1009</v>
      </c>
      <c r="C7" s="587">
        <v>379851427</v>
      </c>
      <c r="D7" s="587"/>
      <c r="E7" s="587"/>
      <c r="F7" s="587"/>
      <c r="G7" s="580">
        <f t="shared" si="0"/>
        <v>379851427</v>
      </c>
    </row>
    <row r="8" spans="1:7" s="585" customFormat="1" ht="24.95" customHeight="1" x14ac:dyDescent="0.2">
      <c r="A8" s="576" t="s">
        <v>21</v>
      </c>
      <c r="B8" s="589" t="s">
        <v>1010</v>
      </c>
      <c r="C8" s="590">
        <f>C6-C7</f>
        <v>30705730</v>
      </c>
      <c r="D8" s="590">
        <f>D6-D7</f>
        <v>123567847</v>
      </c>
      <c r="E8" s="590">
        <f>E6-E7</f>
        <v>111544787</v>
      </c>
      <c r="F8" s="590">
        <f>F6-F7</f>
        <v>31267443</v>
      </c>
      <c r="G8" s="584">
        <f t="shared" si="0"/>
        <v>297085807</v>
      </c>
    </row>
    <row r="9" spans="1:7" s="585" customFormat="1" ht="24.95" customHeight="1" x14ac:dyDescent="0.2">
      <c r="A9" s="576" t="s">
        <v>17</v>
      </c>
      <c r="B9" s="536" t="s">
        <v>1011</v>
      </c>
      <c r="C9" s="590">
        <f>C5+C8</f>
        <v>981546414</v>
      </c>
      <c r="D9" s="590">
        <f>D5+D8</f>
        <v>2163818</v>
      </c>
      <c r="E9" s="590">
        <f>E5+E8</f>
        <v>3321691</v>
      </c>
      <c r="F9" s="590">
        <f>F5+F8</f>
        <v>16288966</v>
      </c>
      <c r="G9" s="584">
        <f t="shared" si="0"/>
        <v>1003320889</v>
      </c>
    </row>
    <row r="10" spans="1:7" s="585" customFormat="1" ht="24.95" customHeight="1" x14ac:dyDescent="0.2">
      <c r="A10" s="576" t="s">
        <v>22</v>
      </c>
      <c r="B10" s="586" t="s">
        <v>1012</v>
      </c>
      <c r="C10" s="587"/>
      <c r="D10" s="591"/>
      <c r="E10" s="587"/>
      <c r="F10" s="587"/>
      <c r="G10" s="580">
        <f t="shared" si="0"/>
        <v>0</v>
      </c>
    </row>
    <row r="11" spans="1:7" s="585" customFormat="1" ht="30" customHeight="1" x14ac:dyDescent="0.2">
      <c r="A11" s="576" t="s">
        <v>257</v>
      </c>
      <c r="B11" s="586" t="s">
        <v>1013</v>
      </c>
      <c r="C11" s="587"/>
      <c r="D11" s="587"/>
      <c r="E11" s="587"/>
      <c r="F11" s="587"/>
      <c r="G11" s="580">
        <f t="shared" si="0"/>
        <v>0</v>
      </c>
    </row>
    <row r="12" spans="1:7" s="585" customFormat="1" ht="30" customHeight="1" x14ac:dyDescent="0.2">
      <c r="A12" s="576" t="s">
        <v>18</v>
      </c>
      <c r="B12" s="592" t="s">
        <v>1014</v>
      </c>
      <c r="C12" s="590">
        <f>C10-C11</f>
        <v>0</v>
      </c>
      <c r="D12" s="590">
        <f>D10-D11</f>
        <v>0</v>
      </c>
      <c r="E12" s="590">
        <f>E10-E11</f>
        <v>0</v>
      </c>
      <c r="F12" s="590">
        <f>F10-F11</f>
        <v>0</v>
      </c>
      <c r="G12" s="584">
        <f t="shared" si="0"/>
        <v>0</v>
      </c>
    </row>
    <row r="13" spans="1:7" s="585" customFormat="1" ht="24.95" customHeight="1" x14ac:dyDescent="0.2">
      <c r="A13" s="576" t="s">
        <v>155</v>
      </c>
      <c r="B13" s="586" t="s">
        <v>1015</v>
      </c>
      <c r="C13" s="593"/>
      <c r="D13" s="593"/>
      <c r="E13" s="593"/>
      <c r="F13" s="593"/>
      <c r="G13" s="580">
        <f t="shared" si="0"/>
        <v>0</v>
      </c>
    </row>
    <row r="14" spans="1:7" s="585" customFormat="1" ht="24.95" customHeight="1" x14ac:dyDescent="0.2">
      <c r="A14" s="576" t="s">
        <v>35</v>
      </c>
      <c r="B14" s="586" t="s">
        <v>1016</v>
      </c>
      <c r="C14" s="594"/>
      <c r="D14" s="594"/>
      <c r="E14" s="594"/>
      <c r="F14" s="594"/>
      <c r="G14" s="580">
        <f t="shared" si="0"/>
        <v>0</v>
      </c>
    </row>
    <row r="15" spans="1:7" s="585" customFormat="1" ht="30" customHeight="1" x14ac:dyDescent="0.2">
      <c r="A15" s="576" t="s">
        <v>281</v>
      </c>
      <c r="B15" s="592" t="s">
        <v>1017</v>
      </c>
      <c r="C15" s="590">
        <f>C13-C14</f>
        <v>0</v>
      </c>
      <c r="D15" s="590">
        <f>D13-D14</f>
        <v>0</v>
      </c>
      <c r="E15" s="590">
        <f>E13-E14</f>
        <v>0</v>
      </c>
      <c r="F15" s="590">
        <f>F13-F14</f>
        <v>0</v>
      </c>
      <c r="G15" s="584">
        <f t="shared" si="0"/>
        <v>0</v>
      </c>
    </row>
    <row r="16" spans="1:7" s="585" customFormat="1" ht="30" customHeight="1" x14ac:dyDescent="0.2">
      <c r="A16" s="576" t="s">
        <v>282</v>
      </c>
      <c r="B16" s="595" t="s">
        <v>1018</v>
      </c>
      <c r="C16" s="596"/>
      <c r="D16" s="587"/>
      <c r="E16" s="587"/>
      <c r="F16" s="587"/>
      <c r="G16" s="580">
        <f t="shared" si="0"/>
        <v>0</v>
      </c>
    </row>
    <row r="17" spans="1:7" s="585" customFormat="1" ht="24.95" customHeight="1" x14ac:dyDescent="0.2">
      <c r="A17" s="576" t="s">
        <v>283</v>
      </c>
      <c r="B17" s="595" t="s">
        <v>1019</v>
      </c>
      <c r="C17" s="583">
        <f>C9+C16</f>
        <v>981546414</v>
      </c>
      <c r="D17" s="590">
        <f>D9+D16</f>
        <v>2163818</v>
      </c>
      <c r="E17" s="590">
        <f>E9+E16</f>
        <v>3321691</v>
      </c>
      <c r="F17" s="590">
        <f>F9+F16</f>
        <v>16288966</v>
      </c>
      <c r="G17" s="584">
        <f t="shared" si="0"/>
        <v>1003320889</v>
      </c>
    </row>
    <row r="18" spans="1:7" s="585" customFormat="1" ht="30" customHeight="1" x14ac:dyDescent="0.2">
      <c r="A18" s="576" t="s">
        <v>219</v>
      </c>
      <c r="B18" s="597" t="s">
        <v>1020</v>
      </c>
      <c r="C18" s="587">
        <v>975000000</v>
      </c>
      <c r="D18" s="587"/>
      <c r="E18" s="587"/>
      <c r="F18" s="587">
        <v>16288966</v>
      </c>
      <c r="G18" s="580">
        <f t="shared" si="0"/>
        <v>991288966</v>
      </c>
    </row>
    <row r="19" spans="1:7" s="585" customFormat="1" ht="24.95" customHeight="1" x14ac:dyDescent="0.2">
      <c r="A19" s="576" t="s">
        <v>297</v>
      </c>
      <c r="B19" s="598" t="s">
        <v>1021</v>
      </c>
      <c r="C19" s="587">
        <f>C17-C18</f>
        <v>6546414</v>
      </c>
      <c r="D19" s="587">
        <f>D17-D18</f>
        <v>2163818</v>
      </c>
      <c r="E19" s="587">
        <f>E17-E18</f>
        <v>3321691</v>
      </c>
      <c r="F19" s="587">
        <f>F17-F18</f>
        <v>0</v>
      </c>
      <c r="G19" s="580">
        <f t="shared" si="0"/>
        <v>12031923</v>
      </c>
    </row>
    <row r="20" spans="1:7" s="585" customFormat="1" ht="30" customHeight="1" x14ac:dyDescent="0.2">
      <c r="A20" s="576" t="s">
        <v>298</v>
      </c>
      <c r="B20" s="599" t="s">
        <v>1022</v>
      </c>
      <c r="C20" s="587"/>
      <c r="D20" s="587"/>
      <c r="E20" s="587"/>
      <c r="F20" s="587"/>
      <c r="G20" s="580">
        <f t="shared" si="0"/>
        <v>0</v>
      </c>
    </row>
    <row r="21" spans="1:7" s="585" customFormat="1" ht="30" customHeight="1" x14ac:dyDescent="0.2">
      <c r="A21" s="576" t="s">
        <v>763</v>
      </c>
      <c r="B21" s="600" t="s">
        <v>1023</v>
      </c>
      <c r="C21" s="586"/>
      <c r="D21" s="587"/>
      <c r="E21" s="587"/>
      <c r="F21" s="587"/>
      <c r="G21" s="580">
        <f t="shared" si="0"/>
        <v>0</v>
      </c>
    </row>
    <row r="22" spans="1:7" ht="24.95" customHeight="1" x14ac:dyDescent="0.2">
      <c r="A22" s="601"/>
      <c r="B22" s="602"/>
      <c r="C22" s="602"/>
      <c r="D22" s="603"/>
      <c r="E22" s="604"/>
      <c r="F22" s="604"/>
      <c r="G22" s="605"/>
    </row>
    <row r="23" spans="1:7" ht="24.95" customHeight="1" x14ac:dyDescent="0.2">
      <c r="A23" s="601"/>
      <c r="B23" s="606"/>
      <c r="C23" s="606"/>
      <c r="D23" s="604"/>
      <c r="E23" s="604"/>
      <c r="F23" s="604"/>
      <c r="G23" s="605"/>
    </row>
    <row r="24" spans="1:7" ht="14.1" customHeight="1" x14ac:dyDescent="0.2">
      <c r="A24" s="601"/>
      <c r="B24" s="607"/>
      <c r="C24" s="607"/>
      <c r="D24" s="604"/>
      <c r="E24" s="604"/>
      <c r="F24" s="604"/>
      <c r="G24" s="605"/>
    </row>
    <row r="25" spans="1:7" ht="14.1" customHeight="1" x14ac:dyDescent="0.2">
      <c r="A25" s="608"/>
      <c r="B25" s="607"/>
      <c r="C25" s="607"/>
      <c r="D25" s="604"/>
      <c r="E25" s="604"/>
      <c r="F25" s="604"/>
      <c r="G25" s="605"/>
    </row>
    <row r="26" spans="1:7" ht="14.1" customHeight="1" x14ac:dyDescent="0.2">
      <c r="A26" s="601"/>
      <c r="B26" s="606"/>
      <c r="C26" s="606"/>
      <c r="D26" s="604"/>
      <c r="E26" s="604"/>
      <c r="F26" s="604"/>
      <c r="G26" s="605"/>
    </row>
    <row r="27" spans="1:7" ht="14.1" customHeight="1" x14ac:dyDescent="0.2">
      <c r="A27" s="601"/>
      <c r="B27" s="606"/>
      <c r="C27" s="606"/>
      <c r="D27" s="604"/>
      <c r="E27" s="604"/>
      <c r="F27" s="604"/>
      <c r="G27" s="605"/>
    </row>
    <row r="28" spans="1:7" ht="14.1" customHeight="1" x14ac:dyDescent="0.2">
      <c r="A28" s="601"/>
      <c r="B28" s="606"/>
      <c r="C28" s="606"/>
      <c r="D28" s="604"/>
      <c r="E28" s="604"/>
      <c r="F28" s="604"/>
    </row>
    <row r="29" spans="1:7" ht="14.1" customHeight="1" x14ac:dyDescent="0.2">
      <c r="A29" s="601"/>
      <c r="B29" s="606"/>
      <c r="C29" s="606"/>
      <c r="D29" s="604"/>
      <c r="E29" s="604"/>
      <c r="F29" s="604"/>
    </row>
    <row r="30" spans="1:7" ht="14.1" customHeight="1" x14ac:dyDescent="0.2">
      <c r="A30" s="601"/>
      <c r="B30" s="607"/>
      <c r="C30" s="607"/>
      <c r="D30" s="604"/>
      <c r="E30" s="604"/>
      <c r="F30" s="604"/>
    </row>
    <row r="31" spans="1:7" ht="14.1" customHeight="1" x14ac:dyDescent="0.2">
      <c r="A31" s="601"/>
      <c r="B31" s="607"/>
      <c r="C31" s="607"/>
      <c r="D31" s="604"/>
      <c r="E31" s="604"/>
      <c r="F31" s="604"/>
    </row>
    <row r="32" spans="1:7" ht="14.1" customHeight="1" x14ac:dyDescent="0.2">
      <c r="A32" s="601"/>
      <c r="B32" s="607"/>
      <c r="C32" s="607"/>
      <c r="D32" s="604"/>
      <c r="E32" s="604"/>
      <c r="F32" s="604"/>
    </row>
    <row r="33" spans="1:6" ht="14.1" customHeight="1" x14ac:dyDescent="0.2">
      <c r="A33" s="601"/>
      <c r="B33" s="607"/>
      <c r="C33" s="607"/>
      <c r="D33" s="604"/>
      <c r="E33" s="604"/>
      <c r="F33" s="604"/>
    </row>
    <row r="34" spans="1:6" ht="14.1" customHeight="1" x14ac:dyDescent="0.2">
      <c r="A34" s="601"/>
      <c r="B34" s="607"/>
      <c r="C34" s="607"/>
      <c r="D34" s="604"/>
      <c r="E34" s="604"/>
      <c r="F34" s="604"/>
    </row>
    <row r="35" spans="1:6" ht="14.1" customHeight="1" x14ac:dyDescent="0.2">
      <c r="A35" s="601"/>
      <c r="B35" s="607"/>
      <c r="C35" s="607"/>
      <c r="D35" s="604"/>
      <c r="E35" s="604"/>
      <c r="F35" s="604"/>
    </row>
    <row r="36" spans="1:6" ht="14.1" customHeight="1" x14ac:dyDescent="0.2">
      <c r="A36" s="601"/>
      <c r="B36" s="607"/>
      <c r="C36" s="607"/>
      <c r="D36" s="604"/>
      <c r="E36" s="604"/>
      <c r="F36" s="604"/>
    </row>
    <row r="37" spans="1:6" ht="14.1" customHeight="1" x14ac:dyDescent="0.2">
      <c r="A37" s="601"/>
      <c r="B37" s="607"/>
      <c r="C37" s="607"/>
      <c r="D37" s="604"/>
      <c r="E37" s="604"/>
      <c r="F37" s="604"/>
    </row>
    <row r="38" spans="1:6" ht="14.1" customHeight="1" x14ac:dyDescent="0.2">
      <c r="A38" s="601"/>
      <c r="B38" s="607"/>
      <c r="C38" s="607"/>
      <c r="D38" s="604"/>
      <c r="E38" s="604"/>
      <c r="F38" s="604"/>
    </row>
    <row r="39" spans="1:6" ht="14.1" customHeight="1" x14ac:dyDescent="0.2">
      <c r="A39" s="601"/>
      <c r="B39" s="607"/>
      <c r="C39" s="607"/>
      <c r="D39" s="604"/>
      <c r="E39" s="604"/>
      <c r="F39" s="604"/>
    </row>
    <row r="40" spans="1:6" ht="14.1" customHeight="1" x14ac:dyDescent="0.2">
      <c r="A40" s="601"/>
      <c r="B40" s="607"/>
      <c r="C40" s="607"/>
      <c r="D40" s="604"/>
      <c r="E40" s="604"/>
      <c r="F40" s="604"/>
    </row>
    <row r="41" spans="1:6" ht="14.1" customHeight="1" x14ac:dyDescent="0.2">
      <c r="A41" s="601"/>
      <c r="B41" s="606"/>
      <c r="C41" s="606"/>
      <c r="D41" s="610"/>
      <c r="E41" s="610"/>
      <c r="F41" s="610"/>
    </row>
    <row r="42" spans="1:6" ht="14.1" customHeight="1" x14ac:dyDescent="0.2">
      <c r="A42" s="1"/>
      <c r="B42" s="611"/>
      <c r="C42" s="611"/>
      <c r="D42" s="612"/>
      <c r="E42" s="612"/>
      <c r="F42" s="612"/>
    </row>
    <row r="43" spans="1:6" ht="14.1" customHeight="1" x14ac:dyDescent="0.2">
      <c r="A43" s="1"/>
      <c r="B43" s="1"/>
      <c r="C43" s="1"/>
      <c r="D43" s="1"/>
      <c r="E43" s="1"/>
      <c r="F43" s="1"/>
    </row>
  </sheetData>
  <mergeCells count="7">
    <mergeCell ref="G1:G2"/>
    <mergeCell ref="A1:A2"/>
    <mergeCell ref="B1:B2"/>
    <mergeCell ref="C1:C2"/>
    <mergeCell ref="D1:D2"/>
    <mergeCell ref="E1:E2"/>
    <mergeCell ref="F1:F2"/>
  </mergeCells>
  <printOptions horizontalCentered="1"/>
  <pageMargins left="0.35433070866141736" right="0.31496062992125984" top="1.3385826771653544" bottom="0.19685039370078741" header="0.39370078740157483" footer="0.15748031496062992"/>
  <pageSetup paperSize="9" scale="68" orientation="portrait" r:id="rId1"/>
  <headerFooter alignWithMargins="0">
    <oddHeader>&amp;C&amp;"Garamond,Félkövér"&amp;12 11/2019. (V.17.) számú költségvetési rendelethez
Zalakaros Város Önkrományzatának maradvány elszámolása
 2018. évben
&amp;R&amp;A
&amp;P.oldal
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8"/>
  <sheetViews>
    <sheetView zoomScaleNormal="100" zoomScaleSheetLayoutView="100" workbookViewId="0">
      <selection activeCell="F19" sqref="F19"/>
    </sheetView>
  </sheetViews>
  <sheetFormatPr defaultRowHeight="12.75" x14ac:dyDescent="0.2"/>
  <cols>
    <col min="1" max="1" width="9" customWidth="1"/>
    <col min="2" max="2" width="60" customWidth="1"/>
    <col min="3" max="3" width="15.7109375" customWidth="1"/>
    <col min="4" max="4" width="14.7109375" customWidth="1"/>
    <col min="5" max="5" width="12.28515625" customWidth="1"/>
    <col min="6" max="6" width="12.85546875" customWidth="1"/>
    <col min="7" max="7" width="16.42578125" style="609" customWidth="1"/>
    <col min="255" max="255" width="9" customWidth="1"/>
    <col min="256" max="256" width="60" customWidth="1"/>
    <col min="257" max="257" width="15.7109375" customWidth="1"/>
    <col min="258" max="258" width="14.7109375" customWidth="1"/>
    <col min="259" max="259" width="12.28515625" customWidth="1"/>
    <col min="260" max="260" width="11.7109375" customWidth="1"/>
    <col min="261" max="261" width="12.85546875" customWidth="1"/>
    <col min="511" max="511" width="9" customWidth="1"/>
    <col min="512" max="512" width="60" customWidth="1"/>
    <col min="513" max="513" width="15.7109375" customWidth="1"/>
    <col min="514" max="514" width="14.7109375" customWidth="1"/>
    <col min="515" max="515" width="12.28515625" customWidth="1"/>
    <col min="516" max="516" width="11.7109375" customWidth="1"/>
    <col min="517" max="517" width="12.85546875" customWidth="1"/>
    <col min="767" max="767" width="9" customWidth="1"/>
    <col min="768" max="768" width="60" customWidth="1"/>
    <col min="769" max="769" width="15.7109375" customWidth="1"/>
    <col min="770" max="770" width="14.7109375" customWidth="1"/>
    <col min="771" max="771" width="12.28515625" customWidth="1"/>
    <col min="772" max="772" width="11.7109375" customWidth="1"/>
    <col min="773" max="773" width="12.85546875" customWidth="1"/>
    <col min="1023" max="1023" width="9" customWidth="1"/>
    <col min="1024" max="1024" width="60" customWidth="1"/>
    <col min="1025" max="1025" width="15.7109375" customWidth="1"/>
    <col min="1026" max="1026" width="14.7109375" customWidth="1"/>
    <col min="1027" max="1027" width="12.28515625" customWidth="1"/>
    <col min="1028" max="1028" width="11.7109375" customWidth="1"/>
    <col min="1029" max="1029" width="12.85546875" customWidth="1"/>
    <col min="1279" max="1279" width="9" customWidth="1"/>
    <col min="1280" max="1280" width="60" customWidth="1"/>
    <col min="1281" max="1281" width="15.7109375" customWidth="1"/>
    <col min="1282" max="1282" width="14.7109375" customWidth="1"/>
    <col min="1283" max="1283" width="12.28515625" customWidth="1"/>
    <col min="1284" max="1284" width="11.7109375" customWidth="1"/>
    <col min="1285" max="1285" width="12.85546875" customWidth="1"/>
    <col min="1535" max="1535" width="9" customWidth="1"/>
    <col min="1536" max="1536" width="60" customWidth="1"/>
    <col min="1537" max="1537" width="15.7109375" customWidth="1"/>
    <col min="1538" max="1538" width="14.7109375" customWidth="1"/>
    <col min="1539" max="1539" width="12.28515625" customWidth="1"/>
    <col min="1540" max="1540" width="11.7109375" customWidth="1"/>
    <col min="1541" max="1541" width="12.85546875" customWidth="1"/>
    <col min="1791" max="1791" width="9" customWidth="1"/>
    <col min="1792" max="1792" width="60" customWidth="1"/>
    <col min="1793" max="1793" width="15.7109375" customWidth="1"/>
    <col min="1794" max="1794" width="14.7109375" customWidth="1"/>
    <col min="1795" max="1795" width="12.28515625" customWidth="1"/>
    <col min="1796" max="1796" width="11.7109375" customWidth="1"/>
    <col min="1797" max="1797" width="12.85546875" customWidth="1"/>
    <col min="2047" max="2047" width="9" customWidth="1"/>
    <col min="2048" max="2048" width="60" customWidth="1"/>
    <col min="2049" max="2049" width="15.7109375" customWidth="1"/>
    <col min="2050" max="2050" width="14.7109375" customWidth="1"/>
    <col min="2051" max="2051" width="12.28515625" customWidth="1"/>
    <col min="2052" max="2052" width="11.7109375" customWidth="1"/>
    <col min="2053" max="2053" width="12.85546875" customWidth="1"/>
    <col min="2303" max="2303" width="9" customWidth="1"/>
    <col min="2304" max="2304" width="60" customWidth="1"/>
    <col min="2305" max="2305" width="15.7109375" customWidth="1"/>
    <col min="2306" max="2306" width="14.7109375" customWidth="1"/>
    <col min="2307" max="2307" width="12.28515625" customWidth="1"/>
    <col min="2308" max="2308" width="11.7109375" customWidth="1"/>
    <col min="2309" max="2309" width="12.85546875" customWidth="1"/>
    <col min="2559" max="2559" width="9" customWidth="1"/>
    <col min="2560" max="2560" width="60" customWidth="1"/>
    <col min="2561" max="2561" width="15.7109375" customWidth="1"/>
    <col min="2562" max="2562" width="14.7109375" customWidth="1"/>
    <col min="2563" max="2563" width="12.28515625" customWidth="1"/>
    <col min="2564" max="2564" width="11.7109375" customWidth="1"/>
    <col min="2565" max="2565" width="12.85546875" customWidth="1"/>
    <col min="2815" max="2815" width="9" customWidth="1"/>
    <col min="2816" max="2816" width="60" customWidth="1"/>
    <col min="2817" max="2817" width="15.7109375" customWidth="1"/>
    <col min="2818" max="2818" width="14.7109375" customWidth="1"/>
    <col min="2819" max="2819" width="12.28515625" customWidth="1"/>
    <col min="2820" max="2820" width="11.7109375" customWidth="1"/>
    <col min="2821" max="2821" width="12.85546875" customWidth="1"/>
    <col min="3071" max="3071" width="9" customWidth="1"/>
    <col min="3072" max="3072" width="60" customWidth="1"/>
    <col min="3073" max="3073" width="15.7109375" customWidth="1"/>
    <col min="3074" max="3074" width="14.7109375" customWidth="1"/>
    <col min="3075" max="3075" width="12.28515625" customWidth="1"/>
    <col min="3076" max="3076" width="11.7109375" customWidth="1"/>
    <col min="3077" max="3077" width="12.85546875" customWidth="1"/>
    <col min="3327" max="3327" width="9" customWidth="1"/>
    <col min="3328" max="3328" width="60" customWidth="1"/>
    <col min="3329" max="3329" width="15.7109375" customWidth="1"/>
    <col min="3330" max="3330" width="14.7109375" customWidth="1"/>
    <col min="3331" max="3331" width="12.28515625" customWidth="1"/>
    <col min="3332" max="3332" width="11.7109375" customWidth="1"/>
    <col min="3333" max="3333" width="12.85546875" customWidth="1"/>
    <col min="3583" max="3583" width="9" customWidth="1"/>
    <col min="3584" max="3584" width="60" customWidth="1"/>
    <col min="3585" max="3585" width="15.7109375" customWidth="1"/>
    <col min="3586" max="3586" width="14.7109375" customWidth="1"/>
    <col min="3587" max="3587" width="12.28515625" customWidth="1"/>
    <col min="3588" max="3588" width="11.7109375" customWidth="1"/>
    <col min="3589" max="3589" width="12.85546875" customWidth="1"/>
    <col min="3839" max="3839" width="9" customWidth="1"/>
    <col min="3840" max="3840" width="60" customWidth="1"/>
    <col min="3841" max="3841" width="15.7109375" customWidth="1"/>
    <col min="3842" max="3842" width="14.7109375" customWidth="1"/>
    <col min="3843" max="3843" width="12.28515625" customWidth="1"/>
    <col min="3844" max="3844" width="11.7109375" customWidth="1"/>
    <col min="3845" max="3845" width="12.85546875" customWidth="1"/>
    <col min="4095" max="4095" width="9" customWidth="1"/>
    <col min="4096" max="4096" width="60" customWidth="1"/>
    <col min="4097" max="4097" width="15.7109375" customWidth="1"/>
    <col min="4098" max="4098" width="14.7109375" customWidth="1"/>
    <col min="4099" max="4099" width="12.28515625" customWidth="1"/>
    <col min="4100" max="4100" width="11.7109375" customWidth="1"/>
    <col min="4101" max="4101" width="12.85546875" customWidth="1"/>
    <col min="4351" max="4351" width="9" customWidth="1"/>
    <col min="4352" max="4352" width="60" customWidth="1"/>
    <col min="4353" max="4353" width="15.7109375" customWidth="1"/>
    <col min="4354" max="4354" width="14.7109375" customWidth="1"/>
    <col min="4355" max="4355" width="12.28515625" customWidth="1"/>
    <col min="4356" max="4356" width="11.7109375" customWidth="1"/>
    <col min="4357" max="4357" width="12.85546875" customWidth="1"/>
    <col min="4607" max="4607" width="9" customWidth="1"/>
    <col min="4608" max="4608" width="60" customWidth="1"/>
    <col min="4609" max="4609" width="15.7109375" customWidth="1"/>
    <col min="4610" max="4610" width="14.7109375" customWidth="1"/>
    <col min="4611" max="4611" width="12.28515625" customWidth="1"/>
    <col min="4612" max="4612" width="11.7109375" customWidth="1"/>
    <col min="4613" max="4613" width="12.85546875" customWidth="1"/>
    <col min="4863" max="4863" width="9" customWidth="1"/>
    <col min="4864" max="4864" width="60" customWidth="1"/>
    <col min="4865" max="4865" width="15.7109375" customWidth="1"/>
    <col min="4866" max="4866" width="14.7109375" customWidth="1"/>
    <col min="4867" max="4867" width="12.28515625" customWidth="1"/>
    <col min="4868" max="4868" width="11.7109375" customWidth="1"/>
    <col min="4869" max="4869" width="12.85546875" customWidth="1"/>
    <col min="5119" max="5119" width="9" customWidth="1"/>
    <col min="5120" max="5120" width="60" customWidth="1"/>
    <col min="5121" max="5121" width="15.7109375" customWidth="1"/>
    <col min="5122" max="5122" width="14.7109375" customWidth="1"/>
    <col min="5123" max="5123" width="12.28515625" customWidth="1"/>
    <col min="5124" max="5124" width="11.7109375" customWidth="1"/>
    <col min="5125" max="5125" width="12.85546875" customWidth="1"/>
    <col min="5375" max="5375" width="9" customWidth="1"/>
    <col min="5376" max="5376" width="60" customWidth="1"/>
    <col min="5377" max="5377" width="15.7109375" customWidth="1"/>
    <col min="5378" max="5378" width="14.7109375" customWidth="1"/>
    <col min="5379" max="5379" width="12.28515625" customWidth="1"/>
    <col min="5380" max="5380" width="11.7109375" customWidth="1"/>
    <col min="5381" max="5381" width="12.85546875" customWidth="1"/>
    <col min="5631" max="5631" width="9" customWidth="1"/>
    <col min="5632" max="5632" width="60" customWidth="1"/>
    <col min="5633" max="5633" width="15.7109375" customWidth="1"/>
    <col min="5634" max="5634" width="14.7109375" customWidth="1"/>
    <col min="5635" max="5635" width="12.28515625" customWidth="1"/>
    <col min="5636" max="5636" width="11.7109375" customWidth="1"/>
    <col min="5637" max="5637" width="12.85546875" customWidth="1"/>
    <col min="5887" max="5887" width="9" customWidth="1"/>
    <col min="5888" max="5888" width="60" customWidth="1"/>
    <col min="5889" max="5889" width="15.7109375" customWidth="1"/>
    <col min="5890" max="5890" width="14.7109375" customWidth="1"/>
    <col min="5891" max="5891" width="12.28515625" customWidth="1"/>
    <col min="5892" max="5892" width="11.7109375" customWidth="1"/>
    <col min="5893" max="5893" width="12.85546875" customWidth="1"/>
    <col min="6143" max="6143" width="9" customWidth="1"/>
    <col min="6144" max="6144" width="60" customWidth="1"/>
    <col min="6145" max="6145" width="15.7109375" customWidth="1"/>
    <col min="6146" max="6146" width="14.7109375" customWidth="1"/>
    <col min="6147" max="6147" width="12.28515625" customWidth="1"/>
    <col min="6148" max="6148" width="11.7109375" customWidth="1"/>
    <col min="6149" max="6149" width="12.85546875" customWidth="1"/>
    <col min="6399" max="6399" width="9" customWidth="1"/>
    <col min="6400" max="6400" width="60" customWidth="1"/>
    <col min="6401" max="6401" width="15.7109375" customWidth="1"/>
    <col min="6402" max="6402" width="14.7109375" customWidth="1"/>
    <col min="6403" max="6403" width="12.28515625" customWidth="1"/>
    <col min="6404" max="6404" width="11.7109375" customWidth="1"/>
    <col min="6405" max="6405" width="12.85546875" customWidth="1"/>
    <col min="6655" max="6655" width="9" customWidth="1"/>
    <col min="6656" max="6656" width="60" customWidth="1"/>
    <col min="6657" max="6657" width="15.7109375" customWidth="1"/>
    <col min="6658" max="6658" width="14.7109375" customWidth="1"/>
    <col min="6659" max="6659" width="12.28515625" customWidth="1"/>
    <col min="6660" max="6660" width="11.7109375" customWidth="1"/>
    <col min="6661" max="6661" width="12.85546875" customWidth="1"/>
    <col min="6911" max="6911" width="9" customWidth="1"/>
    <col min="6912" max="6912" width="60" customWidth="1"/>
    <col min="6913" max="6913" width="15.7109375" customWidth="1"/>
    <col min="6914" max="6914" width="14.7109375" customWidth="1"/>
    <col min="6915" max="6915" width="12.28515625" customWidth="1"/>
    <col min="6916" max="6916" width="11.7109375" customWidth="1"/>
    <col min="6917" max="6917" width="12.85546875" customWidth="1"/>
    <col min="7167" max="7167" width="9" customWidth="1"/>
    <col min="7168" max="7168" width="60" customWidth="1"/>
    <col min="7169" max="7169" width="15.7109375" customWidth="1"/>
    <col min="7170" max="7170" width="14.7109375" customWidth="1"/>
    <col min="7171" max="7171" width="12.28515625" customWidth="1"/>
    <col min="7172" max="7172" width="11.7109375" customWidth="1"/>
    <col min="7173" max="7173" width="12.85546875" customWidth="1"/>
    <col min="7423" max="7423" width="9" customWidth="1"/>
    <col min="7424" max="7424" width="60" customWidth="1"/>
    <col min="7425" max="7425" width="15.7109375" customWidth="1"/>
    <col min="7426" max="7426" width="14.7109375" customWidth="1"/>
    <col min="7427" max="7427" width="12.28515625" customWidth="1"/>
    <col min="7428" max="7428" width="11.7109375" customWidth="1"/>
    <col min="7429" max="7429" width="12.85546875" customWidth="1"/>
    <col min="7679" max="7679" width="9" customWidth="1"/>
    <col min="7680" max="7680" width="60" customWidth="1"/>
    <col min="7681" max="7681" width="15.7109375" customWidth="1"/>
    <col min="7682" max="7682" width="14.7109375" customWidth="1"/>
    <col min="7683" max="7683" width="12.28515625" customWidth="1"/>
    <col min="7684" max="7684" width="11.7109375" customWidth="1"/>
    <col min="7685" max="7685" width="12.85546875" customWidth="1"/>
    <col min="7935" max="7935" width="9" customWidth="1"/>
    <col min="7936" max="7936" width="60" customWidth="1"/>
    <col min="7937" max="7937" width="15.7109375" customWidth="1"/>
    <col min="7938" max="7938" width="14.7109375" customWidth="1"/>
    <col min="7939" max="7939" width="12.28515625" customWidth="1"/>
    <col min="7940" max="7940" width="11.7109375" customWidth="1"/>
    <col min="7941" max="7941" width="12.85546875" customWidth="1"/>
    <col min="8191" max="8191" width="9" customWidth="1"/>
    <col min="8192" max="8192" width="60" customWidth="1"/>
    <col min="8193" max="8193" width="15.7109375" customWidth="1"/>
    <col min="8194" max="8194" width="14.7109375" customWidth="1"/>
    <col min="8195" max="8195" width="12.28515625" customWidth="1"/>
    <col min="8196" max="8196" width="11.7109375" customWidth="1"/>
    <col min="8197" max="8197" width="12.85546875" customWidth="1"/>
    <col min="8447" max="8447" width="9" customWidth="1"/>
    <col min="8448" max="8448" width="60" customWidth="1"/>
    <col min="8449" max="8449" width="15.7109375" customWidth="1"/>
    <col min="8450" max="8450" width="14.7109375" customWidth="1"/>
    <col min="8451" max="8451" width="12.28515625" customWidth="1"/>
    <col min="8452" max="8452" width="11.7109375" customWidth="1"/>
    <col min="8453" max="8453" width="12.85546875" customWidth="1"/>
    <col min="8703" max="8703" width="9" customWidth="1"/>
    <col min="8704" max="8704" width="60" customWidth="1"/>
    <col min="8705" max="8705" width="15.7109375" customWidth="1"/>
    <col min="8706" max="8706" width="14.7109375" customWidth="1"/>
    <col min="8707" max="8707" width="12.28515625" customWidth="1"/>
    <col min="8708" max="8708" width="11.7109375" customWidth="1"/>
    <col min="8709" max="8709" width="12.85546875" customWidth="1"/>
    <col min="8959" max="8959" width="9" customWidth="1"/>
    <col min="8960" max="8960" width="60" customWidth="1"/>
    <col min="8961" max="8961" width="15.7109375" customWidth="1"/>
    <col min="8962" max="8962" width="14.7109375" customWidth="1"/>
    <col min="8963" max="8963" width="12.28515625" customWidth="1"/>
    <col min="8964" max="8964" width="11.7109375" customWidth="1"/>
    <col min="8965" max="8965" width="12.85546875" customWidth="1"/>
    <col min="9215" max="9215" width="9" customWidth="1"/>
    <col min="9216" max="9216" width="60" customWidth="1"/>
    <col min="9217" max="9217" width="15.7109375" customWidth="1"/>
    <col min="9218" max="9218" width="14.7109375" customWidth="1"/>
    <col min="9219" max="9219" width="12.28515625" customWidth="1"/>
    <col min="9220" max="9220" width="11.7109375" customWidth="1"/>
    <col min="9221" max="9221" width="12.85546875" customWidth="1"/>
    <col min="9471" max="9471" width="9" customWidth="1"/>
    <col min="9472" max="9472" width="60" customWidth="1"/>
    <col min="9473" max="9473" width="15.7109375" customWidth="1"/>
    <col min="9474" max="9474" width="14.7109375" customWidth="1"/>
    <col min="9475" max="9475" width="12.28515625" customWidth="1"/>
    <col min="9476" max="9476" width="11.7109375" customWidth="1"/>
    <col min="9477" max="9477" width="12.85546875" customWidth="1"/>
    <col min="9727" max="9727" width="9" customWidth="1"/>
    <col min="9728" max="9728" width="60" customWidth="1"/>
    <col min="9729" max="9729" width="15.7109375" customWidth="1"/>
    <col min="9730" max="9730" width="14.7109375" customWidth="1"/>
    <col min="9731" max="9731" width="12.28515625" customWidth="1"/>
    <col min="9732" max="9732" width="11.7109375" customWidth="1"/>
    <col min="9733" max="9733" width="12.85546875" customWidth="1"/>
    <col min="9983" max="9983" width="9" customWidth="1"/>
    <col min="9984" max="9984" width="60" customWidth="1"/>
    <col min="9985" max="9985" width="15.7109375" customWidth="1"/>
    <col min="9986" max="9986" width="14.7109375" customWidth="1"/>
    <col min="9987" max="9987" width="12.28515625" customWidth="1"/>
    <col min="9988" max="9988" width="11.7109375" customWidth="1"/>
    <col min="9989" max="9989" width="12.85546875" customWidth="1"/>
    <col min="10239" max="10239" width="9" customWidth="1"/>
    <col min="10240" max="10240" width="60" customWidth="1"/>
    <col min="10241" max="10241" width="15.7109375" customWidth="1"/>
    <col min="10242" max="10242" width="14.7109375" customWidth="1"/>
    <col min="10243" max="10243" width="12.28515625" customWidth="1"/>
    <col min="10244" max="10244" width="11.7109375" customWidth="1"/>
    <col min="10245" max="10245" width="12.85546875" customWidth="1"/>
    <col min="10495" max="10495" width="9" customWidth="1"/>
    <col min="10496" max="10496" width="60" customWidth="1"/>
    <col min="10497" max="10497" width="15.7109375" customWidth="1"/>
    <col min="10498" max="10498" width="14.7109375" customWidth="1"/>
    <col min="10499" max="10499" width="12.28515625" customWidth="1"/>
    <col min="10500" max="10500" width="11.7109375" customWidth="1"/>
    <col min="10501" max="10501" width="12.85546875" customWidth="1"/>
    <col min="10751" max="10751" width="9" customWidth="1"/>
    <col min="10752" max="10752" width="60" customWidth="1"/>
    <col min="10753" max="10753" width="15.7109375" customWidth="1"/>
    <col min="10754" max="10754" width="14.7109375" customWidth="1"/>
    <col min="10755" max="10755" width="12.28515625" customWidth="1"/>
    <col min="10756" max="10756" width="11.7109375" customWidth="1"/>
    <col min="10757" max="10757" width="12.85546875" customWidth="1"/>
    <col min="11007" max="11007" width="9" customWidth="1"/>
    <col min="11008" max="11008" width="60" customWidth="1"/>
    <col min="11009" max="11009" width="15.7109375" customWidth="1"/>
    <col min="11010" max="11010" width="14.7109375" customWidth="1"/>
    <col min="11011" max="11011" width="12.28515625" customWidth="1"/>
    <col min="11012" max="11012" width="11.7109375" customWidth="1"/>
    <col min="11013" max="11013" width="12.85546875" customWidth="1"/>
    <col min="11263" max="11263" width="9" customWidth="1"/>
    <col min="11264" max="11264" width="60" customWidth="1"/>
    <col min="11265" max="11265" width="15.7109375" customWidth="1"/>
    <col min="11266" max="11266" width="14.7109375" customWidth="1"/>
    <col min="11267" max="11267" width="12.28515625" customWidth="1"/>
    <col min="11268" max="11268" width="11.7109375" customWidth="1"/>
    <col min="11269" max="11269" width="12.85546875" customWidth="1"/>
    <col min="11519" max="11519" width="9" customWidth="1"/>
    <col min="11520" max="11520" width="60" customWidth="1"/>
    <col min="11521" max="11521" width="15.7109375" customWidth="1"/>
    <col min="11522" max="11522" width="14.7109375" customWidth="1"/>
    <col min="11523" max="11523" width="12.28515625" customWidth="1"/>
    <col min="11524" max="11524" width="11.7109375" customWidth="1"/>
    <col min="11525" max="11525" width="12.85546875" customWidth="1"/>
    <col min="11775" max="11775" width="9" customWidth="1"/>
    <col min="11776" max="11776" width="60" customWidth="1"/>
    <col min="11777" max="11777" width="15.7109375" customWidth="1"/>
    <col min="11778" max="11778" width="14.7109375" customWidth="1"/>
    <col min="11779" max="11779" width="12.28515625" customWidth="1"/>
    <col min="11780" max="11780" width="11.7109375" customWidth="1"/>
    <col min="11781" max="11781" width="12.85546875" customWidth="1"/>
    <col min="12031" max="12031" width="9" customWidth="1"/>
    <col min="12032" max="12032" width="60" customWidth="1"/>
    <col min="12033" max="12033" width="15.7109375" customWidth="1"/>
    <col min="12034" max="12034" width="14.7109375" customWidth="1"/>
    <col min="12035" max="12035" width="12.28515625" customWidth="1"/>
    <col min="12036" max="12036" width="11.7109375" customWidth="1"/>
    <col min="12037" max="12037" width="12.85546875" customWidth="1"/>
    <col min="12287" max="12287" width="9" customWidth="1"/>
    <col min="12288" max="12288" width="60" customWidth="1"/>
    <col min="12289" max="12289" width="15.7109375" customWidth="1"/>
    <col min="12290" max="12290" width="14.7109375" customWidth="1"/>
    <col min="12291" max="12291" width="12.28515625" customWidth="1"/>
    <col min="12292" max="12292" width="11.7109375" customWidth="1"/>
    <col min="12293" max="12293" width="12.85546875" customWidth="1"/>
    <col min="12543" max="12543" width="9" customWidth="1"/>
    <col min="12544" max="12544" width="60" customWidth="1"/>
    <col min="12545" max="12545" width="15.7109375" customWidth="1"/>
    <col min="12546" max="12546" width="14.7109375" customWidth="1"/>
    <col min="12547" max="12547" width="12.28515625" customWidth="1"/>
    <col min="12548" max="12548" width="11.7109375" customWidth="1"/>
    <col min="12549" max="12549" width="12.85546875" customWidth="1"/>
    <col min="12799" max="12799" width="9" customWidth="1"/>
    <col min="12800" max="12800" width="60" customWidth="1"/>
    <col min="12801" max="12801" width="15.7109375" customWidth="1"/>
    <col min="12802" max="12802" width="14.7109375" customWidth="1"/>
    <col min="12803" max="12803" width="12.28515625" customWidth="1"/>
    <col min="12804" max="12804" width="11.7109375" customWidth="1"/>
    <col min="12805" max="12805" width="12.85546875" customWidth="1"/>
    <col min="13055" max="13055" width="9" customWidth="1"/>
    <col min="13056" max="13056" width="60" customWidth="1"/>
    <col min="13057" max="13057" width="15.7109375" customWidth="1"/>
    <col min="13058" max="13058" width="14.7109375" customWidth="1"/>
    <col min="13059" max="13059" width="12.28515625" customWidth="1"/>
    <col min="13060" max="13060" width="11.7109375" customWidth="1"/>
    <col min="13061" max="13061" width="12.85546875" customWidth="1"/>
    <col min="13311" max="13311" width="9" customWidth="1"/>
    <col min="13312" max="13312" width="60" customWidth="1"/>
    <col min="13313" max="13313" width="15.7109375" customWidth="1"/>
    <col min="13314" max="13314" width="14.7109375" customWidth="1"/>
    <col min="13315" max="13315" width="12.28515625" customWidth="1"/>
    <col min="13316" max="13316" width="11.7109375" customWidth="1"/>
    <col min="13317" max="13317" width="12.85546875" customWidth="1"/>
    <col min="13567" max="13567" width="9" customWidth="1"/>
    <col min="13568" max="13568" width="60" customWidth="1"/>
    <col min="13569" max="13569" width="15.7109375" customWidth="1"/>
    <col min="13570" max="13570" width="14.7109375" customWidth="1"/>
    <col min="13571" max="13571" width="12.28515625" customWidth="1"/>
    <col min="13572" max="13572" width="11.7109375" customWidth="1"/>
    <col min="13573" max="13573" width="12.85546875" customWidth="1"/>
    <col min="13823" max="13823" width="9" customWidth="1"/>
    <col min="13824" max="13824" width="60" customWidth="1"/>
    <col min="13825" max="13825" width="15.7109375" customWidth="1"/>
    <col min="13826" max="13826" width="14.7109375" customWidth="1"/>
    <col min="13827" max="13827" width="12.28515625" customWidth="1"/>
    <col min="13828" max="13828" width="11.7109375" customWidth="1"/>
    <col min="13829" max="13829" width="12.85546875" customWidth="1"/>
    <col min="14079" max="14079" width="9" customWidth="1"/>
    <col min="14080" max="14080" width="60" customWidth="1"/>
    <col min="14081" max="14081" width="15.7109375" customWidth="1"/>
    <col min="14082" max="14082" width="14.7109375" customWidth="1"/>
    <col min="14083" max="14083" width="12.28515625" customWidth="1"/>
    <col min="14084" max="14084" width="11.7109375" customWidth="1"/>
    <col min="14085" max="14085" width="12.85546875" customWidth="1"/>
    <col min="14335" max="14335" width="9" customWidth="1"/>
    <col min="14336" max="14336" width="60" customWidth="1"/>
    <col min="14337" max="14337" width="15.7109375" customWidth="1"/>
    <col min="14338" max="14338" width="14.7109375" customWidth="1"/>
    <col min="14339" max="14339" width="12.28515625" customWidth="1"/>
    <col min="14340" max="14340" width="11.7109375" customWidth="1"/>
    <col min="14341" max="14341" width="12.85546875" customWidth="1"/>
    <col min="14591" max="14591" width="9" customWidth="1"/>
    <col min="14592" max="14592" width="60" customWidth="1"/>
    <col min="14593" max="14593" width="15.7109375" customWidth="1"/>
    <col min="14594" max="14594" width="14.7109375" customWidth="1"/>
    <col min="14595" max="14595" width="12.28515625" customWidth="1"/>
    <col min="14596" max="14596" width="11.7109375" customWidth="1"/>
    <col min="14597" max="14597" width="12.85546875" customWidth="1"/>
    <col min="14847" max="14847" width="9" customWidth="1"/>
    <col min="14848" max="14848" width="60" customWidth="1"/>
    <col min="14849" max="14849" width="15.7109375" customWidth="1"/>
    <col min="14850" max="14850" width="14.7109375" customWidth="1"/>
    <col min="14851" max="14851" width="12.28515625" customWidth="1"/>
    <col min="14852" max="14852" width="11.7109375" customWidth="1"/>
    <col min="14853" max="14853" width="12.85546875" customWidth="1"/>
    <col min="15103" max="15103" width="9" customWidth="1"/>
    <col min="15104" max="15104" width="60" customWidth="1"/>
    <col min="15105" max="15105" width="15.7109375" customWidth="1"/>
    <col min="15106" max="15106" width="14.7109375" customWidth="1"/>
    <col min="15107" max="15107" width="12.28515625" customWidth="1"/>
    <col min="15108" max="15108" width="11.7109375" customWidth="1"/>
    <col min="15109" max="15109" width="12.85546875" customWidth="1"/>
    <col min="15359" max="15359" width="9" customWidth="1"/>
    <col min="15360" max="15360" width="60" customWidth="1"/>
    <col min="15361" max="15361" width="15.7109375" customWidth="1"/>
    <col min="15362" max="15362" width="14.7109375" customWidth="1"/>
    <col min="15363" max="15363" width="12.28515625" customWidth="1"/>
    <col min="15364" max="15364" width="11.7109375" customWidth="1"/>
    <col min="15365" max="15365" width="12.85546875" customWidth="1"/>
    <col min="15615" max="15615" width="9" customWidth="1"/>
    <col min="15616" max="15616" width="60" customWidth="1"/>
    <col min="15617" max="15617" width="15.7109375" customWidth="1"/>
    <col min="15618" max="15618" width="14.7109375" customWidth="1"/>
    <col min="15619" max="15619" width="12.28515625" customWidth="1"/>
    <col min="15620" max="15620" width="11.7109375" customWidth="1"/>
    <col min="15621" max="15621" width="12.85546875" customWidth="1"/>
    <col min="15871" max="15871" width="9" customWidth="1"/>
    <col min="15872" max="15872" width="60" customWidth="1"/>
    <col min="15873" max="15873" width="15.7109375" customWidth="1"/>
    <col min="15874" max="15874" width="14.7109375" customWidth="1"/>
    <col min="15875" max="15875" width="12.28515625" customWidth="1"/>
    <col min="15876" max="15876" width="11.7109375" customWidth="1"/>
    <col min="15877" max="15877" width="12.85546875" customWidth="1"/>
    <col min="16127" max="16127" width="9" customWidth="1"/>
    <col min="16128" max="16128" width="60" customWidth="1"/>
    <col min="16129" max="16129" width="15.7109375" customWidth="1"/>
    <col min="16130" max="16130" width="14.7109375" customWidth="1"/>
    <col min="16131" max="16131" width="12.28515625" customWidth="1"/>
    <col min="16132" max="16132" width="11.7109375" customWidth="1"/>
    <col min="16133" max="16133" width="12.85546875" customWidth="1"/>
  </cols>
  <sheetData>
    <row r="1" spans="1:7" x14ac:dyDescent="0.2">
      <c r="A1" s="984" t="s">
        <v>0</v>
      </c>
      <c r="B1" s="986" t="s">
        <v>1</v>
      </c>
      <c r="C1" s="988" t="s">
        <v>737</v>
      </c>
      <c r="D1" s="990" t="s">
        <v>329</v>
      </c>
      <c r="E1" s="992" t="s">
        <v>1003</v>
      </c>
      <c r="F1" s="994" t="s">
        <v>319</v>
      </c>
      <c r="G1" s="982" t="s">
        <v>1004</v>
      </c>
    </row>
    <row r="2" spans="1:7" ht="42.75" customHeight="1" x14ac:dyDescent="0.2">
      <c r="A2" s="985"/>
      <c r="B2" s="987"/>
      <c r="C2" s="989"/>
      <c r="D2" s="991"/>
      <c r="E2" s="993"/>
      <c r="F2" s="993"/>
      <c r="G2" s="983"/>
    </row>
    <row r="3" spans="1:7" ht="24.95" customHeight="1" x14ac:dyDescent="0.2">
      <c r="A3" s="576" t="s">
        <v>19</v>
      </c>
      <c r="B3" s="613" t="s">
        <v>1024</v>
      </c>
      <c r="C3" s="614">
        <f>'9.sz.m.-maradványkimutatás'!C17</f>
        <v>981546414</v>
      </c>
      <c r="D3" s="614">
        <f>'9.sz.m.-maradványkimutatás'!D17</f>
        <v>2163818</v>
      </c>
      <c r="E3" s="614">
        <f>'9.sz.m.-maradványkimutatás'!E17</f>
        <v>3321691</v>
      </c>
      <c r="F3" s="614">
        <f>'9.sz.m.-maradványkimutatás'!F17</f>
        <v>16288966</v>
      </c>
      <c r="G3" s="615">
        <f t="shared" ref="G3:G14" si="0">SUM(C3:F3)</f>
        <v>1003320889</v>
      </c>
    </row>
    <row r="4" spans="1:7" ht="24.95" customHeight="1" x14ac:dyDescent="0.2">
      <c r="A4" s="616" t="s">
        <v>254</v>
      </c>
      <c r="B4" s="594" t="s">
        <v>1025</v>
      </c>
      <c r="C4" s="587">
        <v>975000000</v>
      </c>
      <c r="D4" s="587"/>
      <c r="E4" s="587"/>
      <c r="F4" s="587">
        <v>16288966</v>
      </c>
      <c r="G4" s="617"/>
    </row>
    <row r="5" spans="1:7" s="654" customFormat="1" ht="24.95" customHeight="1" x14ac:dyDescent="0.2">
      <c r="A5" s="685" t="s">
        <v>2</v>
      </c>
      <c r="B5" s="691" t="s">
        <v>1625</v>
      </c>
      <c r="C5" s="692">
        <v>925235000</v>
      </c>
      <c r="D5" s="686"/>
      <c r="E5" s="686"/>
      <c r="F5" s="686"/>
      <c r="G5" s="687"/>
    </row>
    <row r="6" spans="1:7" s="654" customFormat="1" ht="24.95" customHeight="1" x14ac:dyDescent="0.2">
      <c r="A6" s="685" t="s">
        <v>4</v>
      </c>
      <c r="B6" s="691" t="s">
        <v>1626</v>
      </c>
      <c r="C6" s="693">
        <v>4598185</v>
      </c>
      <c r="D6" s="686"/>
      <c r="E6" s="686"/>
      <c r="F6" s="686"/>
      <c r="G6" s="687"/>
    </row>
    <row r="7" spans="1:7" s="654" customFormat="1" ht="24.95" customHeight="1" x14ac:dyDescent="0.2">
      <c r="A7" s="685" t="s">
        <v>5</v>
      </c>
      <c r="B7" s="50" t="s">
        <v>1627</v>
      </c>
      <c r="C7" s="351">
        <v>16317057</v>
      </c>
      <c r="D7" s="686"/>
      <c r="E7" s="686"/>
      <c r="F7" s="686"/>
      <c r="G7" s="687"/>
    </row>
    <row r="8" spans="1:7" s="654" customFormat="1" ht="24.95" customHeight="1" x14ac:dyDescent="0.2">
      <c r="A8" s="685" t="s">
        <v>6</v>
      </c>
      <c r="B8" s="50" t="s">
        <v>588</v>
      </c>
      <c r="C8" s="694">
        <v>5700014</v>
      </c>
      <c r="D8" s="686"/>
      <c r="E8" s="686"/>
      <c r="F8" s="686"/>
      <c r="G8" s="687"/>
    </row>
    <row r="9" spans="1:7" s="654" customFormat="1" ht="24.95" customHeight="1" x14ac:dyDescent="0.2">
      <c r="A9" s="685" t="s">
        <v>8</v>
      </c>
      <c r="B9" s="678" t="s">
        <v>1629</v>
      </c>
      <c r="C9" s="686">
        <v>1537524</v>
      </c>
      <c r="D9" s="686"/>
      <c r="E9" s="686"/>
      <c r="F9" s="686"/>
      <c r="G9" s="687"/>
    </row>
    <row r="10" spans="1:7" s="585" customFormat="1" ht="24.95" customHeight="1" x14ac:dyDescent="0.2">
      <c r="A10" s="685" t="s">
        <v>21</v>
      </c>
      <c r="B10" s="678" t="s">
        <v>1628</v>
      </c>
      <c r="C10" s="686">
        <v>16341860</v>
      </c>
      <c r="D10" s="689"/>
      <c r="E10" s="689"/>
      <c r="F10" s="689"/>
      <c r="G10" s="690">
        <f t="shared" si="0"/>
        <v>16341860</v>
      </c>
    </row>
    <row r="11" spans="1:7" s="585" customFormat="1" ht="34.5" customHeight="1" x14ac:dyDescent="0.2">
      <c r="A11" s="685" t="s">
        <v>17</v>
      </c>
      <c r="B11" s="705" t="s">
        <v>1923</v>
      </c>
      <c r="C11" s="689">
        <v>5270360</v>
      </c>
      <c r="D11" s="689"/>
      <c r="E11" s="689"/>
      <c r="F11" s="689"/>
      <c r="G11" s="690">
        <f t="shared" si="0"/>
        <v>5270360</v>
      </c>
    </row>
    <row r="12" spans="1:7" s="585" customFormat="1" ht="25.5" customHeight="1" x14ac:dyDescent="0.2">
      <c r="A12" s="685" t="s">
        <v>22</v>
      </c>
      <c r="B12" s="688" t="s">
        <v>1630</v>
      </c>
      <c r="C12" s="689"/>
      <c r="D12" s="689"/>
      <c r="E12" s="689"/>
      <c r="F12" s="689">
        <v>16288966</v>
      </c>
      <c r="G12" s="690">
        <f t="shared" si="0"/>
        <v>16288966</v>
      </c>
    </row>
    <row r="13" spans="1:7" s="585" customFormat="1" ht="24.95" customHeight="1" x14ac:dyDescent="0.2">
      <c r="A13" s="616" t="s">
        <v>254</v>
      </c>
      <c r="B13" s="594" t="s">
        <v>1026</v>
      </c>
      <c r="C13" s="583">
        <f>SUM(C5:C12)</f>
        <v>975000000</v>
      </c>
      <c r="D13" s="583">
        <f>SUM(D5:D12)</f>
        <v>0</v>
      </c>
      <c r="E13" s="583">
        <f>SUM(E5:E12)</f>
        <v>0</v>
      </c>
      <c r="F13" s="583">
        <f>SUM(F5:F12)</f>
        <v>16288966</v>
      </c>
      <c r="G13" s="615">
        <f t="shared" si="0"/>
        <v>991288966</v>
      </c>
    </row>
    <row r="14" spans="1:7" s="585" customFormat="1" ht="20.100000000000001" customHeight="1" x14ac:dyDescent="0.2">
      <c r="A14" s="620" t="s">
        <v>686</v>
      </c>
      <c r="B14" s="594" t="s">
        <v>1624</v>
      </c>
      <c r="C14" s="587">
        <f>'9.sz.m.-maradványkimutatás'!C19</f>
        <v>6546414</v>
      </c>
      <c r="D14" s="587">
        <f>'9.sz.m.-maradványkimutatás'!D19</f>
        <v>2163818</v>
      </c>
      <c r="E14" s="587">
        <f>'9.sz.m.-maradványkimutatás'!E19</f>
        <v>3321691</v>
      </c>
      <c r="F14" s="587">
        <f>'9.sz.m.-maradványkimutatás'!F19</f>
        <v>0</v>
      </c>
      <c r="G14" s="615">
        <f t="shared" si="0"/>
        <v>12031923</v>
      </c>
    </row>
    <row r="15" spans="1:7" s="585" customFormat="1" ht="15" customHeight="1" x14ac:dyDescent="0.2">
      <c r="A15" s="621">
        <v>9</v>
      </c>
      <c r="B15" s="619" t="s">
        <v>1027</v>
      </c>
      <c r="C15" s="587">
        <v>6546414</v>
      </c>
      <c r="D15" s="587">
        <f>D14</f>
        <v>2163818</v>
      </c>
      <c r="E15" s="587">
        <f>E14</f>
        <v>3321691</v>
      </c>
      <c r="F15" s="587">
        <f>F14</f>
        <v>0</v>
      </c>
      <c r="G15" s="618">
        <f t="shared" ref="G15:G16" si="1">SUM(C15:F15)</f>
        <v>12031923</v>
      </c>
    </row>
    <row r="16" spans="1:7" s="585" customFormat="1" ht="15" customHeight="1" x14ac:dyDescent="0.2">
      <c r="A16" s="995" t="s">
        <v>1028</v>
      </c>
      <c r="B16" s="996"/>
      <c r="C16" s="622">
        <f>C13+C14</f>
        <v>981546414</v>
      </c>
      <c r="D16" s="622">
        <f>D13+D14</f>
        <v>2163818</v>
      </c>
      <c r="E16" s="622">
        <f>E13+E14</f>
        <v>3321691</v>
      </c>
      <c r="F16" s="622">
        <f>F13+F14</f>
        <v>16288966</v>
      </c>
      <c r="G16" s="615">
        <f t="shared" si="1"/>
        <v>1003320889</v>
      </c>
    </row>
    <row r="17" spans="1:7" ht="24.95" customHeight="1" x14ac:dyDescent="0.2">
      <c r="A17" s="601"/>
      <c r="B17" s="602"/>
      <c r="C17" s="602"/>
      <c r="D17" s="603"/>
      <c r="E17" s="604"/>
      <c r="F17" s="604"/>
      <c r="G17" s="605"/>
    </row>
    <row r="18" spans="1:7" ht="24.95" customHeight="1" x14ac:dyDescent="0.2">
      <c r="A18" s="601"/>
      <c r="B18" s="606"/>
      <c r="C18" s="606"/>
      <c r="D18" s="604"/>
      <c r="E18" s="604"/>
      <c r="F18" s="604"/>
      <c r="G18" s="605"/>
    </row>
    <row r="19" spans="1:7" ht="14.1" customHeight="1" x14ac:dyDescent="0.2">
      <c r="A19" s="601"/>
      <c r="B19" s="607"/>
      <c r="C19" s="607"/>
      <c r="D19" s="604"/>
      <c r="E19" s="604"/>
      <c r="F19" s="604"/>
      <c r="G19" s="605"/>
    </row>
    <row r="20" spans="1:7" ht="14.1" customHeight="1" x14ac:dyDescent="0.2">
      <c r="A20" s="608"/>
      <c r="B20" s="607"/>
      <c r="C20" s="607"/>
      <c r="D20" s="604"/>
      <c r="E20" s="604"/>
      <c r="F20" s="604"/>
      <c r="G20" s="605"/>
    </row>
    <row r="21" spans="1:7" ht="14.1" customHeight="1" x14ac:dyDescent="0.2">
      <c r="A21" s="601"/>
      <c r="B21" s="606"/>
      <c r="C21" s="606"/>
      <c r="D21" s="604"/>
      <c r="E21" s="604"/>
      <c r="F21" s="604"/>
      <c r="G21" s="605"/>
    </row>
    <row r="22" spans="1:7" ht="14.1" customHeight="1" x14ac:dyDescent="0.2">
      <c r="A22" s="601"/>
      <c r="B22" s="606"/>
      <c r="C22" s="606"/>
      <c r="D22" s="604"/>
      <c r="E22" s="604"/>
      <c r="F22" s="604"/>
      <c r="G22" s="605"/>
    </row>
    <row r="23" spans="1:7" ht="14.1" customHeight="1" x14ac:dyDescent="0.2">
      <c r="A23" s="601"/>
      <c r="B23" s="606"/>
      <c r="C23" s="606"/>
      <c r="D23" s="604"/>
      <c r="E23" s="604"/>
      <c r="F23" s="604"/>
    </row>
    <row r="24" spans="1:7" ht="14.1" customHeight="1" x14ac:dyDescent="0.2">
      <c r="A24" s="601"/>
      <c r="B24" s="606"/>
      <c r="C24" s="606"/>
      <c r="D24" s="604"/>
      <c r="E24" s="604"/>
      <c r="F24" s="604"/>
    </row>
    <row r="25" spans="1:7" ht="14.1" customHeight="1" x14ac:dyDescent="0.2">
      <c r="A25" s="601"/>
      <c r="B25" s="607"/>
      <c r="C25" s="607"/>
      <c r="D25" s="604"/>
      <c r="E25" s="604"/>
      <c r="F25" s="604"/>
    </row>
    <row r="26" spans="1:7" ht="14.1" customHeight="1" x14ac:dyDescent="0.2">
      <c r="A26" s="601"/>
      <c r="B26" s="607"/>
      <c r="C26" s="607"/>
      <c r="D26" s="604"/>
      <c r="E26" s="604"/>
      <c r="F26" s="604"/>
    </row>
    <row r="27" spans="1:7" s="609" customFormat="1" ht="14.1" customHeight="1" x14ac:dyDescent="0.2">
      <c r="A27" s="601"/>
      <c r="B27" s="607"/>
      <c r="C27" s="607"/>
      <c r="D27" s="604"/>
      <c r="E27" s="604"/>
      <c r="F27" s="604"/>
    </row>
    <row r="28" spans="1:7" s="609" customFormat="1" ht="14.1" customHeight="1" x14ac:dyDescent="0.2">
      <c r="A28" s="601"/>
      <c r="B28" s="607"/>
      <c r="C28" s="607"/>
      <c r="D28" s="604"/>
      <c r="E28" s="604"/>
      <c r="F28" s="604"/>
    </row>
    <row r="29" spans="1:7" s="609" customFormat="1" ht="14.1" customHeight="1" x14ac:dyDescent="0.2">
      <c r="A29" s="601"/>
      <c r="B29" s="607"/>
      <c r="C29" s="607"/>
      <c r="D29" s="604"/>
      <c r="E29" s="604"/>
      <c r="F29" s="604"/>
    </row>
    <row r="30" spans="1:7" s="609" customFormat="1" ht="14.1" customHeight="1" x14ac:dyDescent="0.2">
      <c r="A30" s="601"/>
      <c r="B30" s="607"/>
      <c r="C30" s="607"/>
      <c r="D30" s="604"/>
      <c r="E30" s="604"/>
      <c r="F30" s="604"/>
    </row>
    <row r="31" spans="1:7" s="609" customFormat="1" ht="14.1" customHeight="1" x14ac:dyDescent="0.2">
      <c r="A31" s="601"/>
      <c r="B31" s="607"/>
      <c r="C31" s="607"/>
      <c r="D31" s="604"/>
      <c r="E31" s="604"/>
      <c r="F31" s="604"/>
    </row>
    <row r="32" spans="1:7" s="609" customFormat="1" ht="14.1" customHeight="1" x14ac:dyDescent="0.2">
      <c r="A32" s="601"/>
      <c r="B32" s="607"/>
      <c r="C32" s="607"/>
      <c r="D32" s="604"/>
      <c r="E32" s="604"/>
      <c r="F32" s="604"/>
    </row>
    <row r="33" spans="1:6" s="609" customFormat="1" ht="14.1" customHeight="1" x14ac:dyDescent="0.2">
      <c r="A33" s="601"/>
      <c r="B33" s="607"/>
      <c r="C33" s="607"/>
      <c r="D33" s="604"/>
      <c r="E33" s="604"/>
      <c r="F33" s="604"/>
    </row>
    <row r="34" spans="1:6" s="609" customFormat="1" ht="14.1" customHeight="1" x14ac:dyDescent="0.2">
      <c r="A34" s="601"/>
      <c r="B34" s="607"/>
      <c r="C34" s="607"/>
      <c r="D34" s="604"/>
      <c r="E34" s="604"/>
      <c r="F34" s="604"/>
    </row>
    <row r="35" spans="1:6" s="609" customFormat="1" ht="14.1" customHeight="1" x14ac:dyDescent="0.2">
      <c r="A35" s="601"/>
      <c r="B35" s="607"/>
      <c r="C35" s="607"/>
      <c r="D35" s="604"/>
      <c r="E35" s="604"/>
      <c r="F35" s="604"/>
    </row>
    <row r="36" spans="1:6" s="609" customFormat="1" ht="14.1" customHeight="1" x14ac:dyDescent="0.2">
      <c r="A36" s="601"/>
      <c r="B36" s="606"/>
      <c r="C36" s="606"/>
      <c r="D36" s="610"/>
      <c r="E36" s="610"/>
      <c r="F36" s="610"/>
    </row>
    <row r="37" spans="1:6" s="609" customFormat="1" ht="14.1" customHeight="1" x14ac:dyDescent="0.2">
      <c r="A37" s="1"/>
      <c r="B37" s="611"/>
      <c r="C37" s="611"/>
      <c r="D37" s="612"/>
      <c r="E37" s="612"/>
      <c r="F37" s="612"/>
    </row>
    <row r="38" spans="1:6" s="609" customFormat="1" ht="14.1" customHeight="1" x14ac:dyDescent="0.2">
      <c r="A38" s="1"/>
      <c r="B38" s="1"/>
      <c r="C38" s="1"/>
      <c r="D38" s="1"/>
      <c r="E38" s="1"/>
      <c r="F38" s="1"/>
    </row>
  </sheetData>
  <mergeCells count="8">
    <mergeCell ref="G1:G2"/>
    <mergeCell ref="A16:B16"/>
    <mergeCell ref="A1:A2"/>
    <mergeCell ref="B1:B2"/>
    <mergeCell ref="C1:C2"/>
    <mergeCell ref="D1:D2"/>
    <mergeCell ref="E1:E2"/>
    <mergeCell ref="F1:F2"/>
  </mergeCells>
  <printOptions horizontalCentered="1"/>
  <pageMargins left="0.35433070866141736" right="0.31496062992125984" top="1.3385826771653544" bottom="0.19685039370078741" header="0.39370078740157483" footer="0.15748031496062992"/>
  <pageSetup paperSize="9" scale="90" orientation="landscape" r:id="rId1"/>
  <headerFooter alignWithMargins="0">
    <oddHeader>&amp;C&amp;"Garamond,Félkövér"&amp;12 11/2019. (V.17.) számú költségvetési rendelethez
ZALAKAROS VÁROS ÖNKORMÁNYZAT 
Maradvány elszámolás
&amp;R&amp;A
&amp;P.oldal
 Ft-ban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V121"/>
  <sheetViews>
    <sheetView view="pageLayout" topLeftCell="A52" zoomScaleNormal="100" workbookViewId="0">
      <selection activeCell="AI62" sqref="AI62"/>
    </sheetView>
  </sheetViews>
  <sheetFormatPr defaultColWidth="9" defaultRowHeight="12.75" x14ac:dyDescent="0.2"/>
  <cols>
    <col min="1" max="1" width="7.140625" style="698" customWidth="1"/>
    <col min="2" max="6" width="3.28515625" style="698" customWidth="1"/>
    <col min="7" max="7" width="3.85546875" style="698" customWidth="1"/>
    <col min="8" max="11" width="3.28515625" style="698" customWidth="1"/>
    <col min="12" max="12" width="3.85546875" style="698" customWidth="1"/>
    <col min="13" max="47" width="3.28515625" style="698" customWidth="1"/>
    <col min="48" max="256" width="9" style="698"/>
    <col min="257" max="257" width="7.140625" style="698" customWidth="1"/>
    <col min="258" max="262" width="3.28515625" style="698" customWidth="1"/>
    <col min="263" max="263" width="3.85546875" style="698" customWidth="1"/>
    <col min="264" max="267" width="3.28515625" style="698" customWidth="1"/>
    <col min="268" max="268" width="3.85546875" style="698" customWidth="1"/>
    <col min="269" max="303" width="3.28515625" style="698" customWidth="1"/>
    <col min="304" max="512" width="9" style="698"/>
    <col min="513" max="513" width="7.140625" style="698" customWidth="1"/>
    <col min="514" max="518" width="3.28515625" style="698" customWidth="1"/>
    <col min="519" max="519" width="3.85546875" style="698" customWidth="1"/>
    <col min="520" max="523" width="3.28515625" style="698" customWidth="1"/>
    <col min="524" max="524" width="3.85546875" style="698" customWidth="1"/>
    <col min="525" max="559" width="3.28515625" style="698" customWidth="1"/>
    <col min="560" max="768" width="9" style="698"/>
    <col min="769" max="769" width="7.140625" style="698" customWidth="1"/>
    <col min="770" max="774" width="3.28515625" style="698" customWidth="1"/>
    <col min="775" max="775" width="3.85546875" style="698" customWidth="1"/>
    <col min="776" max="779" width="3.28515625" style="698" customWidth="1"/>
    <col min="780" max="780" width="3.85546875" style="698" customWidth="1"/>
    <col min="781" max="815" width="3.28515625" style="698" customWidth="1"/>
    <col min="816" max="1024" width="9" style="698"/>
    <col min="1025" max="1025" width="7.140625" style="698" customWidth="1"/>
    <col min="1026" max="1030" width="3.28515625" style="698" customWidth="1"/>
    <col min="1031" max="1031" width="3.85546875" style="698" customWidth="1"/>
    <col min="1032" max="1035" width="3.28515625" style="698" customWidth="1"/>
    <col min="1036" max="1036" width="3.85546875" style="698" customWidth="1"/>
    <col min="1037" max="1071" width="3.28515625" style="698" customWidth="1"/>
    <col min="1072" max="1280" width="9" style="698"/>
    <col min="1281" max="1281" width="7.140625" style="698" customWidth="1"/>
    <col min="1282" max="1286" width="3.28515625" style="698" customWidth="1"/>
    <col min="1287" max="1287" width="3.85546875" style="698" customWidth="1"/>
    <col min="1288" max="1291" width="3.28515625" style="698" customWidth="1"/>
    <col min="1292" max="1292" width="3.85546875" style="698" customWidth="1"/>
    <col min="1293" max="1327" width="3.28515625" style="698" customWidth="1"/>
    <col min="1328" max="1536" width="9" style="698"/>
    <col min="1537" max="1537" width="7.140625" style="698" customWidth="1"/>
    <col min="1538" max="1542" width="3.28515625" style="698" customWidth="1"/>
    <col min="1543" max="1543" width="3.85546875" style="698" customWidth="1"/>
    <col min="1544" max="1547" width="3.28515625" style="698" customWidth="1"/>
    <col min="1548" max="1548" width="3.85546875" style="698" customWidth="1"/>
    <col min="1549" max="1583" width="3.28515625" style="698" customWidth="1"/>
    <col min="1584" max="1792" width="9" style="698"/>
    <col min="1793" max="1793" width="7.140625" style="698" customWidth="1"/>
    <col min="1794" max="1798" width="3.28515625" style="698" customWidth="1"/>
    <col min="1799" max="1799" width="3.85546875" style="698" customWidth="1"/>
    <col min="1800" max="1803" width="3.28515625" style="698" customWidth="1"/>
    <col min="1804" max="1804" width="3.85546875" style="698" customWidth="1"/>
    <col min="1805" max="1839" width="3.28515625" style="698" customWidth="1"/>
    <col min="1840" max="2048" width="9" style="698"/>
    <col min="2049" max="2049" width="7.140625" style="698" customWidth="1"/>
    <col min="2050" max="2054" width="3.28515625" style="698" customWidth="1"/>
    <col min="2055" max="2055" width="3.85546875" style="698" customWidth="1"/>
    <col min="2056" max="2059" width="3.28515625" style="698" customWidth="1"/>
    <col min="2060" max="2060" width="3.85546875" style="698" customWidth="1"/>
    <col min="2061" max="2095" width="3.28515625" style="698" customWidth="1"/>
    <col min="2096" max="2304" width="9" style="698"/>
    <col min="2305" max="2305" width="7.140625" style="698" customWidth="1"/>
    <col min="2306" max="2310" width="3.28515625" style="698" customWidth="1"/>
    <col min="2311" max="2311" width="3.85546875" style="698" customWidth="1"/>
    <col min="2312" max="2315" width="3.28515625" style="698" customWidth="1"/>
    <col min="2316" max="2316" width="3.85546875" style="698" customWidth="1"/>
    <col min="2317" max="2351" width="3.28515625" style="698" customWidth="1"/>
    <col min="2352" max="2560" width="9" style="698"/>
    <col min="2561" max="2561" width="7.140625" style="698" customWidth="1"/>
    <col min="2562" max="2566" width="3.28515625" style="698" customWidth="1"/>
    <col min="2567" max="2567" width="3.85546875" style="698" customWidth="1"/>
    <col min="2568" max="2571" width="3.28515625" style="698" customWidth="1"/>
    <col min="2572" max="2572" width="3.85546875" style="698" customWidth="1"/>
    <col min="2573" max="2607" width="3.28515625" style="698" customWidth="1"/>
    <col min="2608" max="2816" width="9" style="698"/>
    <col min="2817" max="2817" width="7.140625" style="698" customWidth="1"/>
    <col min="2818" max="2822" width="3.28515625" style="698" customWidth="1"/>
    <col min="2823" max="2823" width="3.85546875" style="698" customWidth="1"/>
    <col min="2824" max="2827" width="3.28515625" style="698" customWidth="1"/>
    <col min="2828" max="2828" width="3.85546875" style="698" customWidth="1"/>
    <col min="2829" max="2863" width="3.28515625" style="698" customWidth="1"/>
    <col min="2864" max="3072" width="9" style="698"/>
    <col min="3073" max="3073" width="7.140625" style="698" customWidth="1"/>
    <col min="3074" max="3078" width="3.28515625" style="698" customWidth="1"/>
    <col min="3079" max="3079" width="3.85546875" style="698" customWidth="1"/>
    <col min="3080" max="3083" width="3.28515625" style="698" customWidth="1"/>
    <col min="3084" max="3084" width="3.85546875" style="698" customWidth="1"/>
    <col min="3085" max="3119" width="3.28515625" style="698" customWidth="1"/>
    <col min="3120" max="3328" width="9" style="698"/>
    <col min="3329" max="3329" width="7.140625" style="698" customWidth="1"/>
    <col min="3330" max="3334" width="3.28515625" style="698" customWidth="1"/>
    <col min="3335" max="3335" width="3.85546875" style="698" customWidth="1"/>
    <col min="3336" max="3339" width="3.28515625" style="698" customWidth="1"/>
    <col min="3340" max="3340" width="3.85546875" style="698" customWidth="1"/>
    <col min="3341" max="3375" width="3.28515625" style="698" customWidth="1"/>
    <col min="3376" max="3584" width="9" style="698"/>
    <col min="3585" max="3585" width="7.140625" style="698" customWidth="1"/>
    <col min="3586" max="3590" width="3.28515625" style="698" customWidth="1"/>
    <col min="3591" max="3591" width="3.85546875" style="698" customWidth="1"/>
    <col min="3592" max="3595" width="3.28515625" style="698" customWidth="1"/>
    <col min="3596" max="3596" width="3.85546875" style="698" customWidth="1"/>
    <col min="3597" max="3631" width="3.28515625" style="698" customWidth="1"/>
    <col min="3632" max="3840" width="9" style="698"/>
    <col min="3841" max="3841" width="7.140625" style="698" customWidth="1"/>
    <col min="3842" max="3846" width="3.28515625" style="698" customWidth="1"/>
    <col min="3847" max="3847" width="3.85546875" style="698" customWidth="1"/>
    <col min="3848" max="3851" width="3.28515625" style="698" customWidth="1"/>
    <col min="3852" max="3852" width="3.85546875" style="698" customWidth="1"/>
    <col min="3853" max="3887" width="3.28515625" style="698" customWidth="1"/>
    <col min="3888" max="4096" width="9" style="698"/>
    <col min="4097" max="4097" width="7.140625" style="698" customWidth="1"/>
    <col min="4098" max="4102" width="3.28515625" style="698" customWidth="1"/>
    <col min="4103" max="4103" width="3.85546875" style="698" customWidth="1"/>
    <col min="4104" max="4107" width="3.28515625" style="698" customWidth="1"/>
    <col min="4108" max="4108" width="3.85546875" style="698" customWidth="1"/>
    <col min="4109" max="4143" width="3.28515625" style="698" customWidth="1"/>
    <col min="4144" max="4352" width="9" style="698"/>
    <col min="4353" max="4353" width="7.140625" style="698" customWidth="1"/>
    <col min="4354" max="4358" width="3.28515625" style="698" customWidth="1"/>
    <col min="4359" max="4359" width="3.85546875" style="698" customWidth="1"/>
    <col min="4360" max="4363" width="3.28515625" style="698" customWidth="1"/>
    <col min="4364" max="4364" width="3.85546875" style="698" customWidth="1"/>
    <col min="4365" max="4399" width="3.28515625" style="698" customWidth="1"/>
    <col min="4400" max="4608" width="9" style="698"/>
    <col min="4609" max="4609" width="7.140625" style="698" customWidth="1"/>
    <col min="4610" max="4614" width="3.28515625" style="698" customWidth="1"/>
    <col min="4615" max="4615" width="3.85546875" style="698" customWidth="1"/>
    <col min="4616" max="4619" width="3.28515625" style="698" customWidth="1"/>
    <col min="4620" max="4620" width="3.85546875" style="698" customWidth="1"/>
    <col min="4621" max="4655" width="3.28515625" style="698" customWidth="1"/>
    <col min="4656" max="4864" width="9" style="698"/>
    <col min="4865" max="4865" width="7.140625" style="698" customWidth="1"/>
    <col min="4866" max="4870" width="3.28515625" style="698" customWidth="1"/>
    <col min="4871" max="4871" width="3.85546875" style="698" customWidth="1"/>
    <col min="4872" max="4875" width="3.28515625" style="698" customWidth="1"/>
    <col min="4876" max="4876" width="3.85546875" style="698" customWidth="1"/>
    <col min="4877" max="4911" width="3.28515625" style="698" customWidth="1"/>
    <col min="4912" max="5120" width="9" style="698"/>
    <col min="5121" max="5121" width="7.140625" style="698" customWidth="1"/>
    <col min="5122" max="5126" width="3.28515625" style="698" customWidth="1"/>
    <col min="5127" max="5127" width="3.85546875" style="698" customWidth="1"/>
    <col min="5128" max="5131" width="3.28515625" style="698" customWidth="1"/>
    <col min="5132" max="5132" width="3.85546875" style="698" customWidth="1"/>
    <col min="5133" max="5167" width="3.28515625" style="698" customWidth="1"/>
    <col min="5168" max="5376" width="9" style="698"/>
    <col min="5377" max="5377" width="7.140625" style="698" customWidth="1"/>
    <col min="5378" max="5382" width="3.28515625" style="698" customWidth="1"/>
    <col min="5383" max="5383" width="3.85546875" style="698" customWidth="1"/>
    <col min="5384" max="5387" width="3.28515625" style="698" customWidth="1"/>
    <col min="5388" max="5388" width="3.85546875" style="698" customWidth="1"/>
    <col min="5389" max="5423" width="3.28515625" style="698" customWidth="1"/>
    <col min="5424" max="5632" width="9" style="698"/>
    <col min="5633" max="5633" width="7.140625" style="698" customWidth="1"/>
    <col min="5634" max="5638" width="3.28515625" style="698" customWidth="1"/>
    <col min="5639" max="5639" width="3.85546875" style="698" customWidth="1"/>
    <col min="5640" max="5643" width="3.28515625" style="698" customWidth="1"/>
    <col min="5644" max="5644" width="3.85546875" style="698" customWidth="1"/>
    <col min="5645" max="5679" width="3.28515625" style="698" customWidth="1"/>
    <col min="5680" max="5888" width="9" style="698"/>
    <col min="5889" max="5889" width="7.140625" style="698" customWidth="1"/>
    <col min="5890" max="5894" width="3.28515625" style="698" customWidth="1"/>
    <col min="5895" max="5895" width="3.85546875" style="698" customWidth="1"/>
    <col min="5896" max="5899" width="3.28515625" style="698" customWidth="1"/>
    <col min="5900" max="5900" width="3.85546875" style="698" customWidth="1"/>
    <col min="5901" max="5935" width="3.28515625" style="698" customWidth="1"/>
    <col min="5936" max="6144" width="9" style="698"/>
    <col min="6145" max="6145" width="7.140625" style="698" customWidth="1"/>
    <col min="6146" max="6150" width="3.28515625" style="698" customWidth="1"/>
    <col min="6151" max="6151" width="3.85546875" style="698" customWidth="1"/>
    <col min="6152" max="6155" width="3.28515625" style="698" customWidth="1"/>
    <col min="6156" max="6156" width="3.85546875" style="698" customWidth="1"/>
    <col min="6157" max="6191" width="3.28515625" style="698" customWidth="1"/>
    <col min="6192" max="6400" width="9" style="698"/>
    <col min="6401" max="6401" width="7.140625" style="698" customWidth="1"/>
    <col min="6402" max="6406" width="3.28515625" style="698" customWidth="1"/>
    <col min="6407" max="6407" width="3.85546875" style="698" customWidth="1"/>
    <col min="6408" max="6411" width="3.28515625" style="698" customWidth="1"/>
    <col min="6412" max="6412" width="3.85546875" style="698" customWidth="1"/>
    <col min="6413" max="6447" width="3.28515625" style="698" customWidth="1"/>
    <col min="6448" max="6656" width="9" style="698"/>
    <col min="6657" max="6657" width="7.140625" style="698" customWidth="1"/>
    <col min="6658" max="6662" width="3.28515625" style="698" customWidth="1"/>
    <col min="6663" max="6663" width="3.85546875" style="698" customWidth="1"/>
    <col min="6664" max="6667" width="3.28515625" style="698" customWidth="1"/>
    <col min="6668" max="6668" width="3.85546875" style="698" customWidth="1"/>
    <col min="6669" max="6703" width="3.28515625" style="698" customWidth="1"/>
    <col min="6704" max="6912" width="9" style="698"/>
    <col min="6913" max="6913" width="7.140625" style="698" customWidth="1"/>
    <col min="6914" max="6918" width="3.28515625" style="698" customWidth="1"/>
    <col min="6919" max="6919" width="3.85546875" style="698" customWidth="1"/>
    <col min="6920" max="6923" width="3.28515625" style="698" customWidth="1"/>
    <col min="6924" max="6924" width="3.85546875" style="698" customWidth="1"/>
    <col min="6925" max="6959" width="3.28515625" style="698" customWidth="1"/>
    <col min="6960" max="7168" width="9" style="698"/>
    <col min="7169" max="7169" width="7.140625" style="698" customWidth="1"/>
    <col min="7170" max="7174" width="3.28515625" style="698" customWidth="1"/>
    <col min="7175" max="7175" width="3.85546875" style="698" customWidth="1"/>
    <col min="7176" max="7179" width="3.28515625" style="698" customWidth="1"/>
    <col min="7180" max="7180" width="3.85546875" style="698" customWidth="1"/>
    <col min="7181" max="7215" width="3.28515625" style="698" customWidth="1"/>
    <col min="7216" max="7424" width="9" style="698"/>
    <col min="7425" max="7425" width="7.140625" style="698" customWidth="1"/>
    <col min="7426" max="7430" width="3.28515625" style="698" customWidth="1"/>
    <col min="7431" max="7431" width="3.85546875" style="698" customWidth="1"/>
    <col min="7432" max="7435" width="3.28515625" style="698" customWidth="1"/>
    <col min="7436" max="7436" width="3.85546875" style="698" customWidth="1"/>
    <col min="7437" max="7471" width="3.28515625" style="698" customWidth="1"/>
    <col min="7472" max="7680" width="9" style="698"/>
    <col min="7681" max="7681" width="7.140625" style="698" customWidth="1"/>
    <col min="7682" max="7686" width="3.28515625" style="698" customWidth="1"/>
    <col min="7687" max="7687" width="3.85546875" style="698" customWidth="1"/>
    <col min="7688" max="7691" width="3.28515625" style="698" customWidth="1"/>
    <col min="7692" max="7692" width="3.85546875" style="698" customWidth="1"/>
    <col min="7693" max="7727" width="3.28515625" style="698" customWidth="1"/>
    <col min="7728" max="7936" width="9" style="698"/>
    <col min="7937" max="7937" width="7.140625" style="698" customWidth="1"/>
    <col min="7938" max="7942" width="3.28515625" style="698" customWidth="1"/>
    <col min="7943" max="7943" width="3.85546875" style="698" customWidth="1"/>
    <col min="7944" max="7947" width="3.28515625" style="698" customWidth="1"/>
    <col min="7948" max="7948" width="3.85546875" style="698" customWidth="1"/>
    <col min="7949" max="7983" width="3.28515625" style="698" customWidth="1"/>
    <col min="7984" max="8192" width="9" style="698"/>
    <col min="8193" max="8193" width="7.140625" style="698" customWidth="1"/>
    <col min="8194" max="8198" width="3.28515625" style="698" customWidth="1"/>
    <col min="8199" max="8199" width="3.85546875" style="698" customWidth="1"/>
    <col min="8200" max="8203" width="3.28515625" style="698" customWidth="1"/>
    <col min="8204" max="8204" width="3.85546875" style="698" customWidth="1"/>
    <col min="8205" max="8239" width="3.28515625" style="698" customWidth="1"/>
    <col min="8240" max="8448" width="9" style="698"/>
    <col min="8449" max="8449" width="7.140625" style="698" customWidth="1"/>
    <col min="8450" max="8454" width="3.28515625" style="698" customWidth="1"/>
    <col min="8455" max="8455" width="3.85546875" style="698" customWidth="1"/>
    <col min="8456" max="8459" width="3.28515625" style="698" customWidth="1"/>
    <col min="8460" max="8460" width="3.85546875" style="698" customWidth="1"/>
    <col min="8461" max="8495" width="3.28515625" style="698" customWidth="1"/>
    <col min="8496" max="8704" width="9" style="698"/>
    <col min="8705" max="8705" width="7.140625" style="698" customWidth="1"/>
    <col min="8706" max="8710" width="3.28515625" style="698" customWidth="1"/>
    <col min="8711" max="8711" width="3.85546875" style="698" customWidth="1"/>
    <col min="8712" max="8715" width="3.28515625" style="698" customWidth="1"/>
    <col min="8716" max="8716" width="3.85546875" style="698" customWidth="1"/>
    <col min="8717" max="8751" width="3.28515625" style="698" customWidth="1"/>
    <col min="8752" max="8960" width="9" style="698"/>
    <col min="8961" max="8961" width="7.140625" style="698" customWidth="1"/>
    <col min="8962" max="8966" width="3.28515625" style="698" customWidth="1"/>
    <col min="8967" max="8967" width="3.85546875" style="698" customWidth="1"/>
    <col min="8968" max="8971" width="3.28515625" style="698" customWidth="1"/>
    <col min="8972" max="8972" width="3.85546875" style="698" customWidth="1"/>
    <col min="8973" max="9007" width="3.28515625" style="698" customWidth="1"/>
    <col min="9008" max="9216" width="9" style="698"/>
    <col min="9217" max="9217" width="7.140625" style="698" customWidth="1"/>
    <col min="9218" max="9222" width="3.28515625" style="698" customWidth="1"/>
    <col min="9223" max="9223" width="3.85546875" style="698" customWidth="1"/>
    <col min="9224" max="9227" width="3.28515625" style="698" customWidth="1"/>
    <col min="9228" max="9228" width="3.85546875" style="698" customWidth="1"/>
    <col min="9229" max="9263" width="3.28515625" style="698" customWidth="1"/>
    <col min="9264" max="9472" width="9" style="698"/>
    <col min="9473" max="9473" width="7.140625" style="698" customWidth="1"/>
    <col min="9474" max="9478" width="3.28515625" style="698" customWidth="1"/>
    <col min="9479" max="9479" width="3.85546875" style="698" customWidth="1"/>
    <col min="9480" max="9483" width="3.28515625" style="698" customWidth="1"/>
    <col min="9484" max="9484" width="3.85546875" style="698" customWidth="1"/>
    <col min="9485" max="9519" width="3.28515625" style="698" customWidth="1"/>
    <col min="9520" max="9728" width="9" style="698"/>
    <col min="9729" max="9729" width="7.140625" style="698" customWidth="1"/>
    <col min="9730" max="9734" width="3.28515625" style="698" customWidth="1"/>
    <col min="9735" max="9735" width="3.85546875" style="698" customWidth="1"/>
    <col min="9736" max="9739" width="3.28515625" style="698" customWidth="1"/>
    <col min="9740" max="9740" width="3.85546875" style="698" customWidth="1"/>
    <col min="9741" max="9775" width="3.28515625" style="698" customWidth="1"/>
    <col min="9776" max="9984" width="9" style="698"/>
    <col min="9985" max="9985" width="7.140625" style="698" customWidth="1"/>
    <col min="9986" max="9990" width="3.28515625" style="698" customWidth="1"/>
    <col min="9991" max="9991" width="3.85546875" style="698" customWidth="1"/>
    <col min="9992" max="9995" width="3.28515625" style="698" customWidth="1"/>
    <col min="9996" max="9996" width="3.85546875" style="698" customWidth="1"/>
    <col min="9997" max="10031" width="3.28515625" style="698" customWidth="1"/>
    <col min="10032" max="10240" width="9" style="698"/>
    <col min="10241" max="10241" width="7.140625" style="698" customWidth="1"/>
    <col min="10242" max="10246" width="3.28515625" style="698" customWidth="1"/>
    <col min="10247" max="10247" width="3.85546875" style="698" customWidth="1"/>
    <col min="10248" max="10251" width="3.28515625" style="698" customWidth="1"/>
    <col min="10252" max="10252" width="3.85546875" style="698" customWidth="1"/>
    <col min="10253" max="10287" width="3.28515625" style="698" customWidth="1"/>
    <col min="10288" max="10496" width="9" style="698"/>
    <col min="10497" max="10497" width="7.140625" style="698" customWidth="1"/>
    <col min="10498" max="10502" width="3.28515625" style="698" customWidth="1"/>
    <col min="10503" max="10503" width="3.85546875" style="698" customWidth="1"/>
    <col min="10504" max="10507" width="3.28515625" style="698" customWidth="1"/>
    <col min="10508" max="10508" width="3.85546875" style="698" customWidth="1"/>
    <col min="10509" max="10543" width="3.28515625" style="698" customWidth="1"/>
    <col min="10544" max="10752" width="9" style="698"/>
    <col min="10753" max="10753" width="7.140625" style="698" customWidth="1"/>
    <col min="10754" max="10758" width="3.28515625" style="698" customWidth="1"/>
    <col min="10759" max="10759" width="3.85546875" style="698" customWidth="1"/>
    <col min="10760" max="10763" width="3.28515625" style="698" customWidth="1"/>
    <col min="10764" max="10764" width="3.85546875" style="698" customWidth="1"/>
    <col min="10765" max="10799" width="3.28515625" style="698" customWidth="1"/>
    <col min="10800" max="11008" width="9" style="698"/>
    <col min="11009" max="11009" width="7.140625" style="698" customWidth="1"/>
    <col min="11010" max="11014" width="3.28515625" style="698" customWidth="1"/>
    <col min="11015" max="11015" width="3.85546875" style="698" customWidth="1"/>
    <col min="11016" max="11019" width="3.28515625" style="698" customWidth="1"/>
    <col min="11020" max="11020" width="3.85546875" style="698" customWidth="1"/>
    <col min="11021" max="11055" width="3.28515625" style="698" customWidth="1"/>
    <col min="11056" max="11264" width="9" style="698"/>
    <col min="11265" max="11265" width="7.140625" style="698" customWidth="1"/>
    <col min="11266" max="11270" width="3.28515625" style="698" customWidth="1"/>
    <col min="11271" max="11271" width="3.85546875" style="698" customWidth="1"/>
    <col min="11272" max="11275" width="3.28515625" style="698" customWidth="1"/>
    <col min="11276" max="11276" width="3.85546875" style="698" customWidth="1"/>
    <col min="11277" max="11311" width="3.28515625" style="698" customWidth="1"/>
    <col min="11312" max="11520" width="9" style="698"/>
    <col min="11521" max="11521" width="7.140625" style="698" customWidth="1"/>
    <col min="11522" max="11526" width="3.28515625" style="698" customWidth="1"/>
    <col min="11527" max="11527" width="3.85546875" style="698" customWidth="1"/>
    <col min="11528" max="11531" width="3.28515625" style="698" customWidth="1"/>
    <col min="11532" max="11532" width="3.85546875" style="698" customWidth="1"/>
    <col min="11533" max="11567" width="3.28515625" style="698" customWidth="1"/>
    <col min="11568" max="11776" width="9" style="698"/>
    <col min="11777" max="11777" width="7.140625" style="698" customWidth="1"/>
    <col min="11778" max="11782" width="3.28515625" style="698" customWidth="1"/>
    <col min="11783" max="11783" width="3.85546875" style="698" customWidth="1"/>
    <col min="11784" max="11787" width="3.28515625" style="698" customWidth="1"/>
    <col min="11788" max="11788" width="3.85546875" style="698" customWidth="1"/>
    <col min="11789" max="11823" width="3.28515625" style="698" customWidth="1"/>
    <col min="11824" max="12032" width="9" style="698"/>
    <col min="12033" max="12033" width="7.140625" style="698" customWidth="1"/>
    <col min="12034" max="12038" width="3.28515625" style="698" customWidth="1"/>
    <col min="12039" max="12039" width="3.85546875" style="698" customWidth="1"/>
    <col min="12040" max="12043" width="3.28515625" style="698" customWidth="1"/>
    <col min="12044" max="12044" width="3.85546875" style="698" customWidth="1"/>
    <col min="12045" max="12079" width="3.28515625" style="698" customWidth="1"/>
    <col min="12080" max="12288" width="9" style="698"/>
    <col min="12289" max="12289" width="7.140625" style="698" customWidth="1"/>
    <col min="12290" max="12294" width="3.28515625" style="698" customWidth="1"/>
    <col min="12295" max="12295" width="3.85546875" style="698" customWidth="1"/>
    <col min="12296" max="12299" width="3.28515625" style="698" customWidth="1"/>
    <col min="12300" max="12300" width="3.85546875" style="698" customWidth="1"/>
    <col min="12301" max="12335" width="3.28515625" style="698" customWidth="1"/>
    <col min="12336" max="12544" width="9" style="698"/>
    <col min="12545" max="12545" width="7.140625" style="698" customWidth="1"/>
    <col min="12546" max="12550" width="3.28515625" style="698" customWidth="1"/>
    <col min="12551" max="12551" width="3.85546875" style="698" customWidth="1"/>
    <col min="12552" max="12555" width="3.28515625" style="698" customWidth="1"/>
    <col min="12556" max="12556" width="3.85546875" style="698" customWidth="1"/>
    <col min="12557" max="12591" width="3.28515625" style="698" customWidth="1"/>
    <col min="12592" max="12800" width="9" style="698"/>
    <col min="12801" max="12801" width="7.140625" style="698" customWidth="1"/>
    <col min="12802" max="12806" width="3.28515625" style="698" customWidth="1"/>
    <col min="12807" max="12807" width="3.85546875" style="698" customWidth="1"/>
    <col min="12808" max="12811" width="3.28515625" style="698" customWidth="1"/>
    <col min="12812" max="12812" width="3.85546875" style="698" customWidth="1"/>
    <col min="12813" max="12847" width="3.28515625" style="698" customWidth="1"/>
    <col min="12848" max="13056" width="9" style="698"/>
    <col min="13057" max="13057" width="7.140625" style="698" customWidth="1"/>
    <col min="13058" max="13062" width="3.28515625" style="698" customWidth="1"/>
    <col min="13063" max="13063" width="3.85546875" style="698" customWidth="1"/>
    <col min="13064" max="13067" width="3.28515625" style="698" customWidth="1"/>
    <col min="13068" max="13068" width="3.85546875" style="698" customWidth="1"/>
    <col min="13069" max="13103" width="3.28515625" style="698" customWidth="1"/>
    <col min="13104" max="13312" width="9" style="698"/>
    <col min="13313" max="13313" width="7.140625" style="698" customWidth="1"/>
    <col min="13314" max="13318" width="3.28515625" style="698" customWidth="1"/>
    <col min="13319" max="13319" width="3.85546875" style="698" customWidth="1"/>
    <col min="13320" max="13323" width="3.28515625" style="698" customWidth="1"/>
    <col min="13324" max="13324" width="3.85546875" style="698" customWidth="1"/>
    <col min="13325" max="13359" width="3.28515625" style="698" customWidth="1"/>
    <col min="13360" max="13568" width="9" style="698"/>
    <col min="13569" max="13569" width="7.140625" style="698" customWidth="1"/>
    <col min="13570" max="13574" width="3.28515625" style="698" customWidth="1"/>
    <col min="13575" max="13575" width="3.85546875" style="698" customWidth="1"/>
    <col min="13576" max="13579" width="3.28515625" style="698" customWidth="1"/>
    <col min="13580" max="13580" width="3.85546875" style="698" customWidth="1"/>
    <col min="13581" max="13615" width="3.28515625" style="698" customWidth="1"/>
    <col min="13616" max="13824" width="9" style="698"/>
    <col min="13825" max="13825" width="7.140625" style="698" customWidth="1"/>
    <col min="13826" max="13830" width="3.28515625" style="698" customWidth="1"/>
    <col min="13831" max="13831" width="3.85546875" style="698" customWidth="1"/>
    <col min="13832" max="13835" width="3.28515625" style="698" customWidth="1"/>
    <col min="13836" max="13836" width="3.85546875" style="698" customWidth="1"/>
    <col min="13837" max="13871" width="3.28515625" style="698" customWidth="1"/>
    <col min="13872" max="14080" width="9" style="698"/>
    <col min="14081" max="14081" width="7.140625" style="698" customWidth="1"/>
    <col min="14082" max="14086" width="3.28515625" style="698" customWidth="1"/>
    <col min="14087" max="14087" width="3.85546875" style="698" customWidth="1"/>
    <col min="14088" max="14091" width="3.28515625" style="698" customWidth="1"/>
    <col min="14092" max="14092" width="3.85546875" style="698" customWidth="1"/>
    <col min="14093" max="14127" width="3.28515625" style="698" customWidth="1"/>
    <col min="14128" max="14336" width="9" style="698"/>
    <col min="14337" max="14337" width="7.140625" style="698" customWidth="1"/>
    <col min="14338" max="14342" width="3.28515625" style="698" customWidth="1"/>
    <col min="14343" max="14343" width="3.85546875" style="698" customWidth="1"/>
    <col min="14344" max="14347" width="3.28515625" style="698" customWidth="1"/>
    <col min="14348" max="14348" width="3.85546875" style="698" customWidth="1"/>
    <col min="14349" max="14383" width="3.28515625" style="698" customWidth="1"/>
    <col min="14384" max="14592" width="9" style="698"/>
    <col min="14593" max="14593" width="7.140625" style="698" customWidth="1"/>
    <col min="14594" max="14598" width="3.28515625" style="698" customWidth="1"/>
    <col min="14599" max="14599" width="3.85546875" style="698" customWidth="1"/>
    <col min="14600" max="14603" width="3.28515625" style="698" customWidth="1"/>
    <col min="14604" max="14604" width="3.85546875" style="698" customWidth="1"/>
    <col min="14605" max="14639" width="3.28515625" style="698" customWidth="1"/>
    <col min="14640" max="14848" width="9" style="698"/>
    <col min="14849" max="14849" width="7.140625" style="698" customWidth="1"/>
    <col min="14850" max="14854" width="3.28515625" style="698" customWidth="1"/>
    <col min="14855" max="14855" width="3.85546875" style="698" customWidth="1"/>
    <col min="14856" max="14859" width="3.28515625" style="698" customWidth="1"/>
    <col min="14860" max="14860" width="3.85546875" style="698" customWidth="1"/>
    <col min="14861" max="14895" width="3.28515625" style="698" customWidth="1"/>
    <col min="14896" max="15104" width="9" style="698"/>
    <col min="15105" max="15105" width="7.140625" style="698" customWidth="1"/>
    <col min="15106" max="15110" width="3.28515625" style="698" customWidth="1"/>
    <col min="15111" max="15111" width="3.85546875" style="698" customWidth="1"/>
    <col min="15112" max="15115" width="3.28515625" style="698" customWidth="1"/>
    <col min="15116" max="15116" width="3.85546875" style="698" customWidth="1"/>
    <col min="15117" max="15151" width="3.28515625" style="698" customWidth="1"/>
    <col min="15152" max="15360" width="9" style="698"/>
    <col min="15361" max="15361" width="7.140625" style="698" customWidth="1"/>
    <col min="15362" max="15366" width="3.28515625" style="698" customWidth="1"/>
    <col min="15367" max="15367" width="3.85546875" style="698" customWidth="1"/>
    <col min="15368" max="15371" width="3.28515625" style="698" customWidth="1"/>
    <col min="15372" max="15372" width="3.85546875" style="698" customWidth="1"/>
    <col min="15373" max="15407" width="3.28515625" style="698" customWidth="1"/>
    <col min="15408" max="15616" width="9" style="698"/>
    <col min="15617" max="15617" width="7.140625" style="698" customWidth="1"/>
    <col min="15618" max="15622" width="3.28515625" style="698" customWidth="1"/>
    <col min="15623" max="15623" width="3.85546875" style="698" customWidth="1"/>
    <col min="15624" max="15627" width="3.28515625" style="698" customWidth="1"/>
    <col min="15628" max="15628" width="3.85546875" style="698" customWidth="1"/>
    <col min="15629" max="15663" width="3.28515625" style="698" customWidth="1"/>
    <col min="15664" max="15872" width="9" style="698"/>
    <col min="15873" max="15873" width="7.140625" style="698" customWidth="1"/>
    <col min="15874" max="15878" width="3.28515625" style="698" customWidth="1"/>
    <col min="15879" max="15879" width="3.85546875" style="698" customWidth="1"/>
    <col min="15880" max="15883" width="3.28515625" style="698" customWidth="1"/>
    <col min="15884" max="15884" width="3.85546875" style="698" customWidth="1"/>
    <col min="15885" max="15919" width="3.28515625" style="698" customWidth="1"/>
    <col min="15920" max="16128" width="9" style="698"/>
    <col min="16129" max="16129" width="7.140625" style="698" customWidth="1"/>
    <col min="16130" max="16134" width="3.28515625" style="698" customWidth="1"/>
    <col min="16135" max="16135" width="3.85546875" style="698" customWidth="1"/>
    <col min="16136" max="16139" width="3.28515625" style="698" customWidth="1"/>
    <col min="16140" max="16140" width="3.85546875" style="698" customWidth="1"/>
    <col min="16141" max="16175" width="3.28515625" style="698" customWidth="1"/>
    <col min="16176" max="16384" width="9" style="698"/>
  </cols>
  <sheetData>
    <row r="1" spans="1:48" s="697" customFormat="1" ht="9.9499999999999993" customHeight="1" x14ac:dyDescent="0.2">
      <c r="A1" s="695"/>
      <c r="B1" s="696"/>
      <c r="C1" s="696"/>
      <c r="D1" s="696"/>
      <c r="E1" s="696"/>
      <c r="F1" s="696"/>
      <c r="G1" s="696"/>
      <c r="H1" s="696"/>
      <c r="I1" s="696"/>
      <c r="J1" s="696"/>
      <c r="K1" s="696"/>
      <c r="L1" s="696"/>
      <c r="M1" s="696"/>
      <c r="N1" s="696"/>
      <c r="O1" s="696"/>
      <c r="P1" s="696"/>
      <c r="Q1" s="696"/>
      <c r="R1" s="696"/>
      <c r="S1" s="696"/>
      <c r="T1" s="696"/>
      <c r="U1" s="696"/>
      <c r="V1" s="696"/>
      <c r="W1" s="696"/>
      <c r="X1" s="696"/>
      <c r="Y1" s="696"/>
      <c r="Z1" s="696"/>
      <c r="AA1" s="696"/>
      <c r="AB1" s="696"/>
      <c r="AC1" s="696"/>
      <c r="AD1" s="696"/>
      <c r="AE1" s="696"/>
      <c r="AF1" s="696"/>
      <c r="AG1" s="696"/>
      <c r="AH1" s="696"/>
      <c r="AI1" s="696"/>
      <c r="AJ1" s="696"/>
      <c r="AK1" s="696"/>
      <c r="AL1" s="696"/>
      <c r="AM1" s="696"/>
      <c r="AN1" s="696"/>
      <c r="AO1" s="696"/>
      <c r="AP1" s="696"/>
      <c r="AQ1" s="696"/>
      <c r="AR1" s="696"/>
      <c r="AS1" s="696"/>
      <c r="AT1" s="696"/>
      <c r="AU1" s="696"/>
    </row>
    <row r="2" spans="1:48" s="697" customFormat="1" ht="16.5" customHeight="1" x14ac:dyDescent="0.2">
      <c r="A2" s="1009" t="s">
        <v>1982</v>
      </c>
      <c r="B2" s="1009"/>
      <c r="C2" s="1009"/>
      <c r="D2" s="1009"/>
      <c r="E2" s="1009"/>
      <c r="F2" s="1009"/>
      <c r="G2" s="1009"/>
      <c r="H2" s="1009"/>
      <c r="I2" s="1009"/>
      <c r="J2" s="1009"/>
      <c r="K2" s="1009"/>
      <c r="L2" s="1009"/>
      <c r="M2" s="1009"/>
      <c r="N2" s="1009"/>
      <c r="O2" s="1009"/>
      <c r="P2" s="1009"/>
      <c r="Q2" s="1009"/>
      <c r="R2" s="1009"/>
      <c r="S2" s="1009"/>
      <c r="T2" s="1009"/>
      <c r="U2" s="1009"/>
      <c r="V2" s="1009"/>
      <c r="W2" s="1009"/>
      <c r="X2" s="1009"/>
      <c r="Y2" s="1009"/>
      <c r="Z2" s="1009"/>
      <c r="AA2" s="1009"/>
      <c r="AB2" s="1009"/>
      <c r="AC2" s="1009"/>
      <c r="AD2" s="1009"/>
      <c r="AE2" s="1009"/>
      <c r="AF2" s="1009"/>
      <c r="AG2" s="698"/>
      <c r="AH2" s="698"/>
      <c r="AI2" s="698"/>
      <c r="AJ2" s="698"/>
      <c r="AK2" s="698"/>
      <c r="AL2" s="698"/>
      <c r="AM2" s="698"/>
      <c r="AN2" s="698"/>
      <c r="AO2" s="698"/>
      <c r="AP2" s="698"/>
      <c r="AQ2" s="698"/>
      <c r="AR2" s="698"/>
      <c r="AS2" s="696"/>
      <c r="AT2" s="696"/>
      <c r="AU2" s="699"/>
    </row>
    <row r="3" spans="1:48" s="697" customFormat="1" ht="16.5" customHeight="1" x14ac:dyDescent="0.2">
      <c r="A3" s="1010" t="s">
        <v>1921</v>
      </c>
      <c r="B3" s="1010"/>
      <c r="C3" s="1010"/>
      <c r="D3" s="1010"/>
      <c r="E3" s="1010"/>
      <c r="F3" s="1010"/>
      <c r="G3" s="1010"/>
      <c r="H3" s="1010"/>
      <c r="I3" s="1010"/>
      <c r="J3" s="1010"/>
      <c r="K3" s="1010"/>
      <c r="L3" s="1010"/>
      <c r="M3" s="1010"/>
      <c r="N3" s="1010"/>
      <c r="O3" s="1010"/>
      <c r="P3" s="1010"/>
      <c r="Q3" s="1010"/>
      <c r="R3" s="1010"/>
      <c r="S3" s="1010"/>
      <c r="T3" s="1010"/>
      <c r="U3" s="1010"/>
      <c r="V3" s="1010"/>
      <c r="W3" s="1010"/>
      <c r="X3" s="1010"/>
      <c r="Y3" s="1010"/>
      <c r="Z3" s="1010"/>
      <c r="AA3" s="1010"/>
      <c r="AB3" s="1010"/>
      <c r="AC3" s="1010"/>
      <c r="AD3" s="1010"/>
      <c r="AE3" s="1010"/>
      <c r="AF3" s="1010"/>
      <c r="AG3" s="698"/>
      <c r="AH3" s="698"/>
      <c r="AI3" s="698"/>
      <c r="AJ3" s="698"/>
      <c r="AK3" s="698"/>
      <c r="AL3" s="698"/>
      <c r="AM3" s="698"/>
      <c r="AN3" s="698"/>
      <c r="AO3" s="698"/>
      <c r="AP3" s="698"/>
      <c r="AQ3" s="698"/>
      <c r="AR3" s="698"/>
      <c r="AS3" s="696"/>
      <c r="AT3" s="696"/>
      <c r="AU3" s="699"/>
    </row>
    <row r="4" spans="1:48" s="697" customFormat="1" ht="16.5" customHeight="1" x14ac:dyDescent="0.2">
      <c r="A4" s="1010" t="s">
        <v>1922</v>
      </c>
      <c r="B4" s="1010"/>
      <c r="C4" s="1010"/>
      <c r="D4" s="1010"/>
      <c r="E4" s="1010"/>
      <c r="F4" s="1010"/>
      <c r="G4" s="1010"/>
      <c r="H4" s="1010"/>
      <c r="I4" s="1010"/>
      <c r="J4" s="1010"/>
      <c r="K4" s="1010"/>
      <c r="L4" s="1010"/>
      <c r="M4" s="1010"/>
      <c r="N4" s="1010"/>
      <c r="O4" s="1010"/>
      <c r="P4" s="1010"/>
      <c r="Q4" s="1010"/>
      <c r="R4" s="1010"/>
      <c r="S4" s="1010"/>
      <c r="T4" s="1010"/>
      <c r="U4" s="1010"/>
      <c r="V4" s="1010"/>
      <c r="W4" s="1010"/>
      <c r="X4" s="1010"/>
      <c r="Y4" s="1010"/>
      <c r="Z4" s="1010"/>
      <c r="AA4" s="1010"/>
      <c r="AB4" s="1010"/>
      <c r="AC4" s="1010"/>
      <c r="AD4" s="1010"/>
      <c r="AE4" s="1010"/>
      <c r="AF4" s="1010"/>
      <c r="AG4" s="696"/>
      <c r="AH4" s="696"/>
      <c r="AI4" s="700"/>
      <c r="AJ4" s="696"/>
      <c r="AK4" s="696"/>
      <c r="AL4" s="696"/>
      <c r="AM4" s="696"/>
      <c r="AN4" s="696"/>
      <c r="AO4" s="696"/>
      <c r="AP4" s="696"/>
      <c r="AQ4" s="696"/>
      <c r="AR4" s="696"/>
      <c r="AS4" s="696"/>
      <c r="AT4" s="696"/>
      <c r="AU4" s="701"/>
    </row>
    <row r="5" spans="1:48" ht="25.5" customHeight="1" x14ac:dyDescent="0.2">
      <c r="A5" s="1004" t="s">
        <v>1631</v>
      </c>
      <c r="B5" s="1004"/>
      <c r="C5" s="1004"/>
      <c r="D5" s="1004"/>
      <c r="E5" s="1004"/>
      <c r="F5" s="1004"/>
      <c r="G5" s="1004"/>
      <c r="H5" s="1004"/>
      <c r="I5" s="1004"/>
      <c r="J5" s="1004"/>
      <c r="K5" s="1004"/>
      <c r="L5" s="1004"/>
      <c r="M5" s="1004"/>
      <c r="N5" s="1004"/>
      <c r="O5" s="1004"/>
      <c r="P5" s="1004"/>
      <c r="Q5" s="1004"/>
      <c r="R5" s="1004"/>
      <c r="S5" s="1004"/>
      <c r="T5" s="1004"/>
      <c r="U5" s="1004"/>
      <c r="V5" s="1004"/>
      <c r="W5" s="1004"/>
      <c r="X5" s="1004"/>
      <c r="Y5" s="1004"/>
      <c r="Z5" s="1004"/>
      <c r="AA5" s="1004"/>
      <c r="AB5" s="1004"/>
      <c r="AC5" s="1004"/>
      <c r="AD5" s="1004"/>
      <c r="AE5" s="1004"/>
      <c r="AF5" s="1004"/>
    </row>
    <row r="6" spans="1:48" ht="13.5" thickBot="1" x14ac:dyDescent="0.25">
      <c r="A6" s="1005" t="s">
        <v>1632</v>
      </c>
      <c r="B6" s="1005"/>
      <c r="C6" s="1005"/>
      <c r="D6" s="1005"/>
      <c r="E6" s="1005"/>
      <c r="F6" s="1005"/>
      <c r="G6" s="1005"/>
      <c r="H6" s="1005"/>
      <c r="I6" s="1005"/>
      <c r="J6" s="1005"/>
      <c r="K6" s="1005"/>
      <c r="L6" s="1005"/>
      <c r="M6" s="1005"/>
      <c r="N6" s="1005"/>
      <c r="O6" s="1005"/>
      <c r="P6" s="1005"/>
      <c r="Q6" s="1005"/>
      <c r="R6" s="1005"/>
      <c r="S6" s="1005"/>
      <c r="T6" s="1005"/>
      <c r="U6" s="1005"/>
      <c r="V6" s="1005"/>
      <c r="W6" s="1005"/>
      <c r="X6" s="1005"/>
      <c r="Y6" s="1005"/>
      <c r="Z6" s="1005"/>
      <c r="AA6" s="1005"/>
      <c r="AB6" s="1005"/>
      <c r="AC6" s="1005"/>
      <c r="AD6" s="1005"/>
      <c r="AE6" s="1005"/>
      <c r="AF6" s="1005"/>
      <c r="AG6" s="702"/>
      <c r="AH6" s="702"/>
      <c r="AI6" s="702"/>
      <c r="AJ6" s="702"/>
      <c r="AK6" s="702"/>
      <c r="AL6" s="702"/>
      <c r="AM6" s="702"/>
      <c r="AN6" s="702"/>
      <c r="AO6" s="702"/>
      <c r="AP6" s="702"/>
      <c r="AR6" s="702"/>
      <c r="AS6" s="702"/>
      <c r="AT6" s="702"/>
      <c r="AU6" s="702"/>
      <c r="AV6" s="703"/>
    </row>
    <row r="7" spans="1:48" ht="12.75" customHeight="1" thickTop="1" thickBot="1" x14ac:dyDescent="0.25">
      <c r="A7" s="1006" t="s">
        <v>15</v>
      </c>
      <c r="B7" s="1006"/>
      <c r="C7" s="1006"/>
      <c r="D7" s="1006"/>
      <c r="E7" s="1006"/>
      <c r="F7" s="1006"/>
      <c r="G7" s="1006"/>
      <c r="H7" s="1006"/>
      <c r="I7" s="1006"/>
      <c r="J7" s="1006"/>
      <c r="K7" s="1007" t="s">
        <v>0</v>
      </c>
      <c r="L7" s="1007"/>
      <c r="M7" s="1007"/>
      <c r="N7" s="1007"/>
      <c r="O7" s="1007" t="s">
        <v>1633</v>
      </c>
      <c r="P7" s="1007"/>
      <c r="Q7" s="1007"/>
      <c r="R7" s="1007"/>
      <c r="S7" s="1007"/>
      <c r="T7" s="1007"/>
      <c r="U7" s="1007" t="s">
        <v>1634</v>
      </c>
      <c r="V7" s="1007"/>
      <c r="W7" s="1007"/>
      <c r="X7" s="1007"/>
      <c r="Y7" s="1007"/>
      <c r="Z7" s="1007"/>
      <c r="AA7" s="1008" t="s">
        <v>1635</v>
      </c>
      <c r="AB7" s="1008"/>
      <c r="AC7" s="1008"/>
      <c r="AD7" s="1008"/>
      <c r="AE7" s="1008"/>
      <c r="AF7" s="1008"/>
      <c r="AV7" s="703"/>
    </row>
    <row r="8" spans="1:48" ht="13.5" thickTop="1" x14ac:dyDescent="0.2">
      <c r="A8" s="1001" t="s">
        <v>1636</v>
      </c>
      <c r="B8" s="1001"/>
      <c r="C8" s="1001"/>
      <c r="D8" s="1001"/>
      <c r="E8" s="1001"/>
      <c r="F8" s="1001"/>
      <c r="G8" s="1001"/>
      <c r="H8" s="1001"/>
      <c r="I8" s="1001"/>
      <c r="J8" s="1001"/>
      <c r="K8" s="1002" t="s">
        <v>1637</v>
      </c>
      <c r="L8" s="1002"/>
      <c r="M8" s="1002"/>
      <c r="N8" s="1002"/>
      <c r="O8" s="1002" t="s">
        <v>1638</v>
      </c>
      <c r="P8" s="1002"/>
      <c r="Q8" s="1002"/>
      <c r="R8" s="1002"/>
      <c r="S8" s="1002"/>
      <c r="T8" s="1002"/>
      <c r="U8" s="1002" t="s">
        <v>1639</v>
      </c>
      <c r="V8" s="1002"/>
      <c r="W8" s="1002"/>
      <c r="X8" s="1002"/>
      <c r="Y8" s="1002"/>
      <c r="Z8" s="1002"/>
      <c r="AA8" s="1003" t="s">
        <v>1640</v>
      </c>
      <c r="AB8" s="1003"/>
      <c r="AC8" s="1003"/>
      <c r="AD8" s="1003"/>
      <c r="AE8" s="1003"/>
      <c r="AF8" s="1003"/>
      <c r="AV8" s="703"/>
    </row>
    <row r="9" spans="1:48" ht="15.2" customHeight="1" thickBot="1" x14ac:dyDescent="0.25">
      <c r="A9" s="997" t="s">
        <v>895</v>
      </c>
      <c r="B9" s="997"/>
      <c r="C9" s="997"/>
      <c r="D9" s="997"/>
      <c r="E9" s="997"/>
      <c r="F9" s="997"/>
      <c r="G9" s="997"/>
      <c r="H9" s="997"/>
      <c r="I9" s="997"/>
      <c r="J9" s="997"/>
      <c r="K9" s="998" t="s">
        <v>502</v>
      </c>
      <c r="L9" s="998"/>
      <c r="M9" s="998"/>
      <c r="N9" s="998"/>
      <c r="O9" s="998" t="s">
        <v>502</v>
      </c>
      <c r="P9" s="998"/>
      <c r="Q9" s="998"/>
      <c r="R9" s="998"/>
      <c r="S9" s="998"/>
      <c r="T9" s="998"/>
      <c r="U9" s="998" t="s">
        <v>502</v>
      </c>
      <c r="V9" s="998"/>
      <c r="W9" s="998"/>
      <c r="X9" s="998"/>
      <c r="Y9" s="998"/>
      <c r="Z9" s="998"/>
      <c r="AA9" s="999" t="s">
        <v>502</v>
      </c>
      <c r="AB9" s="999"/>
      <c r="AC9" s="999"/>
      <c r="AD9" s="999"/>
      <c r="AE9" s="999"/>
      <c r="AF9" s="999"/>
      <c r="AV9" s="703"/>
    </row>
    <row r="10" spans="1:48" ht="25.35" customHeight="1" thickTop="1" thickBot="1" x14ac:dyDescent="0.25">
      <c r="A10" s="997" t="s">
        <v>1641</v>
      </c>
      <c r="B10" s="997"/>
      <c r="C10" s="997"/>
      <c r="D10" s="997"/>
      <c r="E10" s="997"/>
      <c r="F10" s="997"/>
      <c r="G10" s="997"/>
      <c r="H10" s="997"/>
      <c r="I10" s="997"/>
      <c r="J10" s="997"/>
      <c r="K10" s="998" t="s">
        <v>67</v>
      </c>
      <c r="L10" s="998"/>
      <c r="M10" s="998"/>
      <c r="N10" s="998"/>
      <c r="O10" s="1000">
        <v>5223925524</v>
      </c>
      <c r="P10" s="1000"/>
      <c r="Q10" s="1000"/>
      <c r="R10" s="1000"/>
      <c r="S10" s="1000"/>
      <c r="T10" s="1000"/>
      <c r="U10" s="1000">
        <v>5372279932</v>
      </c>
      <c r="V10" s="1000"/>
      <c r="W10" s="1000"/>
      <c r="X10" s="1000"/>
      <c r="Y10" s="1000"/>
      <c r="Z10" s="1000"/>
      <c r="AA10" s="999" t="s">
        <v>1642</v>
      </c>
      <c r="AB10" s="999"/>
      <c r="AC10" s="999"/>
      <c r="AD10" s="999"/>
      <c r="AE10" s="999"/>
      <c r="AF10" s="999"/>
    </row>
    <row r="11" spans="1:48" ht="15.2" customHeight="1" thickTop="1" thickBot="1" x14ac:dyDescent="0.25">
      <c r="A11" s="997" t="s">
        <v>1643</v>
      </c>
      <c r="B11" s="997"/>
      <c r="C11" s="997"/>
      <c r="D11" s="997"/>
      <c r="E11" s="997"/>
      <c r="F11" s="997"/>
      <c r="G11" s="997"/>
      <c r="H11" s="997"/>
      <c r="I11" s="997"/>
      <c r="J11" s="997"/>
      <c r="K11" s="998" t="s">
        <v>1644</v>
      </c>
      <c r="L11" s="998"/>
      <c r="M11" s="998"/>
      <c r="N11" s="998"/>
      <c r="O11" s="1000" t="s">
        <v>1645</v>
      </c>
      <c r="P11" s="1000"/>
      <c r="Q11" s="1000"/>
      <c r="R11" s="1000"/>
      <c r="S11" s="1000"/>
      <c r="T11" s="1000"/>
      <c r="U11" s="1000" t="s">
        <v>1646</v>
      </c>
      <c r="V11" s="1000"/>
      <c r="W11" s="1000"/>
      <c r="X11" s="1000"/>
      <c r="Y11" s="1000"/>
      <c r="Z11" s="1000"/>
      <c r="AA11" s="999" t="s">
        <v>1647</v>
      </c>
      <c r="AB11" s="999"/>
      <c r="AC11" s="999"/>
      <c r="AD11" s="999"/>
      <c r="AE11" s="999"/>
      <c r="AF11" s="999"/>
    </row>
    <row r="12" spans="1:48" ht="15.2" customHeight="1" thickTop="1" thickBot="1" x14ac:dyDescent="0.25">
      <c r="A12" s="997" t="s">
        <v>1648</v>
      </c>
      <c r="B12" s="997"/>
      <c r="C12" s="997"/>
      <c r="D12" s="997"/>
      <c r="E12" s="997"/>
      <c r="F12" s="997"/>
      <c r="G12" s="997"/>
      <c r="H12" s="997"/>
      <c r="I12" s="997"/>
      <c r="J12" s="997"/>
      <c r="K12" s="998" t="s">
        <v>1649</v>
      </c>
      <c r="L12" s="998"/>
      <c r="M12" s="998"/>
      <c r="N12" s="998"/>
      <c r="O12" s="1000" t="s">
        <v>1650</v>
      </c>
      <c r="P12" s="1000"/>
      <c r="Q12" s="1000"/>
      <c r="R12" s="1000"/>
      <c r="S12" s="1000"/>
      <c r="T12" s="1000"/>
      <c r="U12" s="1000" t="s">
        <v>1651</v>
      </c>
      <c r="V12" s="1000"/>
      <c r="W12" s="1000"/>
      <c r="X12" s="1000"/>
      <c r="Y12" s="1000"/>
      <c r="Z12" s="1000"/>
      <c r="AA12" s="999" t="s">
        <v>1652</v>
      </c>
      <c r="AB12" s="999"/>
      <c r="AC12" s="999"/>
      <c r="AD12" s="999"/>
      <c r="AE12" s="999"/>
      <c r="AF12" s="999"/>
    </row>
    <row r="13" spans="1:48" ht="15.2" customHeight="1" thickTop="1" thickBot="1" x14ac:dyDescent="0.25">
      <c r="A13" s="997" t="s">
        <v>1653</v>
      </c>
      <c r="B13" s="997"/>
      <c r="C13" s="997"/>
      <c r="D13" s="997"/>
      <c r="E13" s="997"/>
      <c r="F13" s="997"/>
      <c r="G13" s="997"/>
      <c r="H13" s="997"/>
      <c r="I13" s="997"/>
      <c r="J13" s="997"/>
      <c r="K13" s="998" t="s">
        <v>1654</v>
      </c>
      <c r="L13" s="998"/>
      <c r="M13" s="998"/>
      <c r="N13" s="998"/>
      <c r="O13" s="1000" t="s">
        <v>1655</v>
      </c>
      <c r="P13" s="1000"/>
      <c r="Q13" s="1000"/>
      <c r="R13" s="1000"/>
      <c r="S13" s="1000"/>
      <c r="T13" s="1000"/>
      <c r="U13" s="1000" t="s">
        <v>1655</v>
      </c>
      <c r="V13" s="1000"/>
      <c r="W13" s="1000"/>
      <c r="X13" s="1000"/>
      <c r="Y13" s="1000"/>
      <c r="Z13" s="1000"/>
      <c r="AA13" s="999" t="s">
        <v>1655</v>
      </c>
      <c r="AB13" s="999"/>
      <c r="AC13" s="999"/>
      <c r="AD13" s="999"/>
      <c r="AE13" s="999"/>
      <c r="AF13" s="999"/>
    </row>
    <row r="14" spans="1:48" ht="25.35" customHeight="1" thickTop="1" thickBot="1" x14ac:dyDescent="0.25">
      <c r="A14" s="997" t="s">
        <v>1656</v>
      </c>
      <c r="B14" s="997"/>
      <c r="C14" s="997"/>
      <c r="D14" s="997"/>
      <c r="E14" s="997"/>
      <c r="F14" s="997"/>
      <c r="G14" s="997"/>
      <c r="H14" s="997"/>
      <c r="I14" s="997"/>
      <c r="J14" s="997"/>
      <c r="K14" s="998" t="s">
        <v>1657</v>
      </c>
      <c r="L14" s="998"/>
      <c r="M14" s="998"/>
      <c r="N14" s="998"/>
      <c r="O14" s="1000" t="s">
        <v>1655</v>
      </c>
      <c r="P14" s="1000"/>
      <c r="Q14" s="1000"/>
      <c r="R14" s="1000"/>
      <c r="S14" s="1000"/>
      <c r="T14" s="1000"/>
      <c r="U14" s="1000" t="s">
        <v>1655</v>
      </c>
      <c r="V14" s="1000"/>
      <c r="W14" s="1000"/>
      <c r="X14" s="1000"/>
      <c r="Y14" s="1000"/>
      <c r="Z14" s="1000"/>
      <c r="AA14" s="999" t="s">
        <v>1655</v>
      </c>
      <c r="AB14" s="999"/>
      <c r="AC14" s="999"/>
      <c r="AD14" s="999"/>
      <c r="AE14" s="999"/>
      <c r="AF14" s="999"/>
    </row>
    <row r="15" spans="1:48" ht="15.2" customHeight="1" thickTop="1" thickBot="1" x14ac:dyDescent="0.25">
      <c r="A15" s="997" t="s">
        <v>1658</v>
      </c>
      <c r="B15" s="997"/>
      <c r="C15" s="997"/>
      <c r="D15" s="997"/>
      <c r="E15" s="997"/>
      <c r="F15" s="997"/>
      <c r="G15" s="997"/>
      <c r="H15" s="997"/>
      <c r="I15" s="997"/>
      <c r="J15" s="997"/>
      <c r="K15" s="998" t="s">
        <v>1659</v>
      </c>
      <c r="L15" s="998"/>
      <c r="M15" s="998"/>
      <c r="N15" s="998"/>
      <c r="O15" s="1000" t="s">
        <v>1650</v>
      </c>
      <c r="P15" s="1000"/>
      <c r="Q15" s="1000"/>
      <c r="R15" s="1000"/>
      <c r="S15" s="1000"/>
      <c r="T15" s="1000"/>
      <c r="U15" s="1000" t="s">
        <v>1651</v>
      </c>
      <c r="V15" s="1000"/>
      <c r="W15" s="1000"/>
      <c r="X15" s="1000"/>
      <c r="Y15" s="1000"/>
      <c r="Z15" s="1000"/>
      <c r="AA15" s="999" t="s">
        <v>1652</v>
      </c>
      <c r="AB15" s="999"/>
      <c r="AC15" s="999"/>
      <c r="AD15" s="999"/>
      <c r="AE15" s="999"/>
      <c r="AF15" s="999"/>
    </row>
    <row r="16" spans="1:48" ht="15.2" customHeight="1" thickTop="1" thickBot="1" x14ac:dyDescent="0.25">
      <c r="A16" s="997" t="s">
        <v>1660</v>
      </c>
      <c r="B16" s="997"/>
      <c r="C16" s="997"/>
      <c r="D16" s="997"/>
      <c r="E16" s="997"/>
      <c r="F16" s="997"/>
      <c r="G16" s="997"/>
      <c r="H16" s="997"/>
      <c r="I16" s="997"/>
      <c r="J16" s="997"/>
      <c r="K16" s="998" t="s">
        <v>1661</v>
      </c>
      <c r="L16" s="998"/>
      <c r="M16" s="998"/>
      <c r="N16" s="998"/>
      <c r="O16" s="1000" t="s">
        <v>1655</v>
      </c>
      <c r="P16" s="1000"/>
      <c r="Q16" s="1000"/>
      <c r="R16" s="1000"/>
      <c r="S16" s="1000"/>
      <c r="T16" s="1000"/>
      <c r="U16" s="1000" t="s">
        <v>1655</v>
      </c>
      <c r="V16" s="1000"/>
      <c r="W16" s="1000"/>
      <c r="X16" s="1000"/>
      <c r="Y16" s="1000"/>
      <c r="Z16" s="1000"/>
      <c r="AA16" s="999" t="s">
        <v>1655</v>
      </c>
      <c r="AB16" s="999"/>
      <c r="AC16" s="999"/>
      <c r="AD16" s="999"/>
      <c r="AE16" s="999"/>
      <c r="AF16" s="999"/>
    </row>
    <row r="17" spans="1:32" ht="15.2" customHeight="1" thickTop="1" thickBot="1" x14ac:dyDescent="0.25">
      <c r="A17" s="997" t="s">
        <v>1662</v>
      </c>
      <c r="B17" s="997"/>
      <c r="C17" s="997"/>
      <c r="D17" s="997"/>
      <c r="E17" s="997"/>
      <c r="F17" s="997"/>
      <c r="G17" s="997"/>
      <c r="H17" s="997"/>
      <c r="I17" s="997"/>
      <c r="J17" s="997"/>
      <c r="K17" s="998" t="s">
        <v>1663</v>
      </c>
      <c r="L17" s="998"/>
      <c r="M17" s="998"/>
      <c r="N17" s="998"/>
      <c r="O17" s="1000" t="s">
        <v>1664</v>
      </c>
      <c r="P17" s="1000"/>
      <c r="Q17" s="1000"/>
      <c r="R17" s="1000"/>
      <c r="S17" s="1000"/>
      <c r="T17" s="1000"/>
      <c r="U17" s="1000" t="s">
        <v>1665</v>
      </c>
      <c r="V17" s="1000"/>
      <c r="W17" s="1000"/>
      <c r="X17" s="1000"/>
      <c r="Y17" s="1000"/>
      <c r="Z17" s="1000"/>
      <c r="AA17" s="999" t="s">
        <v>1666</v>
      </c>
      <c r="AB17" s="999"/>
      <c r="AC17" s="999"/>
      <c r="AD17" s="999"/>
      <c r="AE17" s="999"/>
      <c r="AF17" s="999"/>
    </row>
    <row r="18" spans="1:32" ht="15.2" customHeight="1" thickTop="1" thickBot="1" x14ac:dyDescent="0.25">
      <c r="A18" s="997" t="s">
        <v>1653</v>
      </c>
      <c r="B18" s="997"/>
      <c r="C18" s="997"/>
      <c r="D18" s="997"/>
      <c r="E18" s="997"/>
      <c r="F18" s="997"/>
      <c r="G18" s="997"/>
      <c r="H18" s="997"/>
      <c r="I18" s="997"/>
      <c r="J18" s="997"/>
      <c r="K18" s="998" t="s">
        <v>1667</v>
      </c>
      <c r="L18" s="998"/>
      <c r="M18" s="998"/>
      <c r="N18" s="998"/>
      <c r="O18" s="1000" t="s">
        <v>1655</v>
      </c>
      <c r="P18" s="1000"/>
      <c r="Q18" s="1000"/>
      <c r="R18" s="1000"/>
      <c r="S18" s="1000"/>
      <c r="T18" s="1000"/>
      <c r="U18" s="1000" t="s">
        <v>1655</v>
      </c>
      <c r="V18" s="1000"/>
      <c r="W18" s="1000"/>
      <c r="X18" s="1000"/>
      <c r="Y18" s="1000"/>
      <c r="Z18" s="1000"/>
      <c r="AA18" s="999" t="s">
        <v>1655</v>
      </c>
      <c r="AB18" s="999"/>
      <c r="AC18" s="999"/>
      <c r="AD18" s="999"/>
      <c r="AE18" s="999"/>
      <c r="AF18" s="999"/>
    </row>
    <row r="19" spans="1:32" ht="25.35" customHeight="1" thickTop="1" thickBot="1" x14ac:dyDescent="0.25">
      <c r="A19" s="997" t="s">
        <v>1656</v>
      </c>
      <c r="B19" s="997"/>
      <c r="C19" s="997"/>
      <c r="D19" s="997"/>
      <c r="E19" s="997"/>
      <c r="F19" s="997"/>
      <c r="G19" s="997"/>
      <c r="H19" s="997"/>
      <c r="I19" s="997"/>
      <c r="J19" s="997"/>
      <c r="K19" s="998" t="s">
        <v>1668</v>
      </c>
      <c r="L19" s="998"/>
      <c r="M19" s="998"/>
      <c r="N19" s="998"/>
      <c r="O19" s="1000" t="s">
        <v>1655</v>
      </c>
      <c r="P19" s="1000"/>
      <c r="Q19" s="1000"/>
      <c r="R19" s="1000"/>
      <c r="S19" s="1000"/>
      <c r="T19" s="1000"/>
      <c r="U19" s="1000" t="s">
        <v>1655</v>
      </c>
      <c r="V19" s="1000"/>
      <c r="W19" s="1000"/>
      <c r="X19" s="1000"/>
      <c r="Y19" s="1000"/>
      <c r="Z19" s="1000"/>
      <c r="AA19" s="999" t="s">
        <v>1655</v>
      </c>
      <c r="AB19" s="999"/>
      <c r="AC19" s="999"/>
      <c r="AD19" s="999"/>
      <c r="AE19" s="999"/>
      <c r="AF19" s="999"/>
    </row>
    <row r="20" spans="1:32" ht="15.2" customHeight="1" thickTop="1" thickBot="1" x14ac:dyDescent="0.25">
      <c r="A20" s="997" t="s">
        <v>1658</v>
      </c>
      <c r="B20" s="997"/>
      <c r="C20" s="997"/>
      <c r="D20" s="997"/>
      <c r="E20" s="997"/>
      <c r="F20" s="997"/>
      <c r="G20" s="997"/>
      <c r="H20" s="997"/>
      <c r="I20" s="997"/>
      <c r="J20" s="997"/>
      <c r="K20" s="998" t="s">
        <v>1669</v>
      </c>
      <c r="L20" s="998"/>
      <c r="M20" s="998"/>
      <c r="N20" s="998"/>
      <c r="O20" s="1000" t="s">
        <v>1670</v>
      </c>
      <c r="P20" s="1000"/>
      <c r="Q20" s="1000"/>
      <c r="R20" s="1000"/>
      <c r="S20" s="1000"/>
      <c r="T20" s="1000"/>
      <c r="U20" s="1000" t="s">
        <v>1671</v>
      </c>
      <c r="V20" s="1000"/>
      <c r="W20" s="1000"/>
      <c r="X20" s="1000"/>
      <c r="Y20" s="1000"/>
      <c r="Z20" s="1000"/>
      <c r="AA20" s="999" t="s">
        <v>1672</v>
      </c>
      <c r="AB20" s="999"/>
      <c r="AC20" s="999"/>
      <c r="AD20" s="999"/>
      <c r="AE20" s="999"/>
      <c r="AF20" s="999"/>
    </row>
    <row r="21" spans="1:32" ht="15.2" customHeight="1" thickTop="1" thickBot="1" x14ac:dyDescent="0.25">
      <c r="A21" s="997" t="s">
        <v>1660</v>
      </c>
      <c r="B21" s="997"/>
      <c r="C21" s="997"/>
      <c r="D21" s="997"/>
      <c r="E21" s="997"/>
      <c r="F21" s="997"/>
      <c r="G21" s="997"/>
      <c r="H21" s="997"/>
      <c r="I21" s="997"/>
      <c r="J21" s="997"/>
      <c r="K21" s="998" t="s">
        <v>1673</v>
      </c>
      <c r="L21" s="998"/>
      <c r="M21" s="998"/>
      <c r="N21" s="998"/>
      <c r="O21" s="1000" t="s">
        <v>1674</v>
      </c>
      <c r="P21" s="1000"/>
      <c r="Q21" s="1000"/>
      <c r="R21" s="1000"/>
      <c r="S21" s="1000"/>
      <c r="T21" s="1000"/>
      <c r="U21" s="1000" t="s">
        <v>1675</v>
      </c>
      <c r="V21" s="1000"/>
      <c r="W21" s="1000"/>
      <c r="X21" s="1000"/>
      <c r="Y21" s="1000"/>
      <c r="Z21" s="1000"/>
      <c r="AA21" s="999" t="s">
        <v>1676</v>
      </c>
      <c r="AB21" s="999"/>
      <c r="AC21" s="999"/>
      <c r="AD21" s="999"/>
      <c r="AE21" s="999"/>
      <c r="AF21" s="999"/>
    </row>
    <row r="22" spans="1:32" ht="15.2" customHeight="1" thickTop="1" thickBot="1" x14ac:dyDescent="0.25">
      <c r="A22" s="997" t="s">
        <v>1677</v>
      </c>
      <c r="B22" s="997"/>
      <c r="C22" s="997"/>
      <c r="D22" s="997"/>
      <c r="E22" s="997"/>
      <c r="F22" s="997"/>
      <c r="G22" s="997"/>
      <c r="H22" s="997"/>
      <c r="I22" s="997"/>
      <c r="J22" s="997"/>
      <c r="K22" s="998" t="s">
        <v>1678</v>
      </c>
      <c r="L22" s="998"/>
      <c r="M22" s="998"/>
      <c r="N22" s="998"/>
      <c r="O22" s="1000" t="s">
        <v>1655</v>
      </c>
      <c r="P22" s="1000"/>
      <c r="Q22" s="1000"/>
      <c r="R22" s="1000"/>
      <c r="S22" s="1000"/>
      <c r="T22" s="1000"/>
      <c r="U22" s="1000" t="s">
        <v>1655</v>
      </c>
      <c r="V22" s="1000"/>
      <c r="W22" s="1000"/>
      <c r="X22" s="1000"/>
      <c r="Y22" s="1000"/>
      <c r="Z22" s="1000"/>
      <c r="AA22" s="999" t="s">
        <v>1655</v>
      </c>
      <c r="AB22" s="999"/>
      <c r="AC22" s="999"/>
      <c r="AD22" s="999"/>
      <c r="AE22" s="999"/>
      <c r="AF22" s="999"/>
    </row>
    <row r="23" spans="1:32" ht="15.2" customHeight="1" thickTop="1" thickBot="1" x14ac:dyDescent="0.25">
      <c r="A23" s="997" t="s">
        <v>1653</v>
      </c>
      <c r="B23" s="997"/>
      <c r="C23" s="997"/>
      <c r="D23" s="997"/>
      <c r="E23" s="997"/>
      <c r="F23" s="997"/>
      <c r="G23" s="997"/>
      <c r="H23" s="997"/>
      <c r="I23" s="997"/>
      <c r="J23" s="997"/>
      <c r="K23" s="998" t="s">
        <v>1679</v>
      </c>
      <c r="L23" s="998"/>
      <c r="M23" s="998"/>
      <c r="N23" s="998"/>
      <c r="O23" s="1000" t="s">
        <v>1655</v>
      </c>
      <c r="P23" s="1000"/>
      <c r="Q23" s="1000"/>
      <c r="R23" s="1000"/>
      <c r="S23" s="1000"/>
      <c r="T23" s="1000"/>
      <c r="U23" s="1000" t="s">
        <v>1655</v>
      </c>
      <c r="V23" s="1000"/>
      <c r="W23" s="1000"/>
      <c r="X23" s="1000"/>
      <c r="Y23" s="1000"/>
      <c r="Z23" s="1000"/>
      <c r="AA23" s="999" t="s">
        <v>1655</v>
      </c>
      <c r="AB23" s="999"/>
      <c r="AC23" s="999"/>
      <c r="AD23" s="999"/>
      <c r="AE23" s="999"/>
      <c r="AF23" s="999"/>
    </row>
    <row r="24" spans="1:32" ht="25.35" customHeight="1" thickTop="1" thickBot="1" x14ac:dyDescent="0.25">
      <c r="A24" s="997" t="s">
        <v>1656</v>
      </c>
      <c r="B24" s="997"/>
      <c r="C24" s="997"/>
      <c r="D24" s="997"/>
      <c r="E24" s="997"/>
      <c r="F24" s="997"/>
      <c r="G24" s="997"/>
      <c r="H24" s="997"/>
      <c r="I24" s="997"/>
      <c r="J24" s="997"/>
      <c r="K24" s="998" t="s">
        <v>1680</v>
      </c>
      <c r="L24" s="998"/>
      <c r="M24" s="998"/>
      <c r="N24" s="998"/>
      <c r="O24" s="1000" t="s">
        <v>1655</v>
      </c>
      <c r="P24" s="1000"/>
      <c r="Q24" s="1000"/>
      <c r="R24" s="1000"/>
      <c r="S24" s="1000"/>
      <c r="T24" s="1000"/>
      <c r="U24" s="1000" t="s">
        <v>1655</v>
      </c>
      <c r="V24" s="1000"/>
      <c r="W24" s="1000"/>
      <c r="X24" s="1000"/>
      <c r="Y24" s="1000"/>
      <c r="Z24" s="1000"/>
      <c r="AA24" s="999" t="s">
        <v>1655</v>
      </c>
      <c r="AB24" s="999"/>
      <c r="AC24" s="999"/>
      <c r="AD24" s="999"/>
      <c r="AE24" s="999"/>
      <c r="AF24" s="999"/>
    </row>
    <row r="25" spans="1:32" ht="15.2" customHeight="1" thickTop="1" thickBot="1" x14ac:dyDescent="0.25">
      <c r="A25" s="997" t="s">
        <v>1658</v>
      </c>
      <c r="B25" s="997"/>
      <c r="C25" s="997"/>
      <c r="D25" s="997"/>
      <c r="E25" s="997"/>
      <c r="F25" s="997"/>
      <c r="G25" s="997"/>
      <c r="H25" s="997"/>
      <c r="I25" s="997"/>
      <c r="J25" s="997"/>
      <c r="K25" s="998" t="s">
        <v>1681</v>
      </c>
      <c r="L25" s="998"/>
      <c r="M25" s="998"/>
      <c r="N25" s="998"/>
      <c r="O25" s="1000" t="s">
        <v>1655</v>
      </c>
      <c r="P25" s="1000"/>
      <c r="Q25" s="1000"/>
      <c r="R25" s="1000"/>
      <c r="S25" s="1000"/>
      <c r="T25" s="1000"/>
      <c r="U25" s="1000" t="s">
        <v>1655</v>
      </c>
      <c r="V25" s="1000"/>
      <c r="W25" s="1000"/>
      <c r="X25" s="1000"/>
      <c r="Y25" s="1000"/>
      <c r="Z25" s="1000"/>
      <c r="AA25" s="999" t="s">
        <v>1655</v>
      </c>
      <c r="AB25" s="999"/>
      <c r="AC25" s="999"/>
      <c r="AD25" s="999"/>
      <c r="AE25" s="999"/>
      <c r="AF25" s="999"/>
    </row>
    <row r="26" spans="1:32" ht="15.2" customHeight="1" thickTop="1" thickBot="1" x14ac:dyDescent="0.25">
      <c r="A26" s="997" t="s">
        <v>1660</v>
      </c>
      <c r="B26" s="997"/>
      <c r="C26" s="997"/>
      <c r="D26" s="997"/>
      <c r="E26" s="997"/>
      <c r="F26" s="997"/>
      <c r="G26" s="997"/>
      <c r="H26" s="997"/>
      <c r="I26" s="997"/>
      <c r="J26" s="997"/>
      <c r="K26" s="998" t="s">
        <v>1682</v>
      </c>
      <c r="L26" s="998"/>
      <c r="M26" s="998"/>
      <c r="N26" s="998"/>
      <c r="O26" s="1000" t="s">
        <v>1655</v>
      </c>
      <c r="P26" s="1000"/>
      <c r="Q26" s="1000"/>
      <c r="R26" s="1000"/>
      <c r="S26" s="1000"/>
      <c r="T26" s="1000"/>
      <c r="U26" s="1000" t="s">
        <v>1655</v>
      </c>
      <c r="V26" s="1000"/>
      <c r="W26" s="1000"/>
      <c r="X26" s="1000"/>
      <c r="Y26" s="1000"/>
      <c r="Z26" s="1000"/>
      <c r="AA26" s="999" t="s">
        <v>1655</v>
      </c>
      <c r="AB26" s="999"/>
      <c r="AC26" s="999"/>
      <c r="AD26" s="999"/>
      <c r="AE26" s="999"/>
      <c r="AF26" s="999"/>
    </row>
    <row r="27" spans="1:32" ht="15.2" customHeight="1" thickTop="1" thickBot="1" x14ac:dyDescent="0.25">
      <c r="A27" s="997" t="s">
        <v>1683</v>
      </c>
      <c r="B27" s="997"/>
      <c r="C27" s="997"/>
      <c r="D27" s="997"/>
      <c r="E27" s="997"/>
      <c r="F27" s="997"/>
      <c r="G27" s="997"/>
      <c r="H27" s="997"/>
      <c r="I27" s="997"/>
      <c r="J27" s="997"/>
      <c r="K27" s="998" t="s">
        <v>1684</v>
      </c>
      <c r="L27" s="998"/>
      <c r="M27" s="998"/>
      <c r="N27" s="998"/>
      <c r="O27" s="1000">
        <v>4376665148</v>
      </c>
      <c r="P27" s="1000"/>
      <c r="Q27" s="1000"/>
      <c r="R27" s="1000"/>
      <c r="S27" s="1000"/>
      <c r="T27" s="1000"/>
      <c r="U27" s="1000">
        <v>4526465879</v>
      </c>
      <c r="V27" s="1000"/>
      <c r="W27" s="1000"/>
      <c r="X27" s="1000"/>
      <c r="Y27" s="1000"/>
      <c r="Z27" s="1000"/>
      <c r="AA27" s="999" t="s">
        <v>1685</v>
      </c>
      <c r="AB27" s="999"/>
      <c r="AC27" s="999"/>
      <c r="AD27" s="999"/>
      <c r="AE27" s="999"/>
      <c r="AF27" s="999"/>
    </row>
    <row r="28" spans="1:32" ht="25.35" customHeight="1" thickTop="1" thickBot="1" x14ac:dyDescent="0.25">
      <c r="A28" s="997" t="s">
        <v>1686</v>
      </c>
      <c r="B28" s="997"/>
      <c r="C28" s="997"/>
      <c r="D28" s="997"/>
      <c r="E28" s="997"/>
      <c r="F28" s="997"/>
      <c r="G28" s="997"/>
      <c r="H28" s="997"/>
      <c r="I28" s="997"/>
      <c r="J28" s="997"/>
      <c r="K28" s="998" t="s">
        <v>1687</v>
      </c>
      <c r="L28" s="998"/>
      <c r="M28" s="998"/>
      <c r="N28" s="998"/>
      <c r="O28" s="1000">
        <v>4254001975</v>
      </c>
      <c r="P28" s="1000"/>
      <c r="Q28" s="1000"/>
      <c r="R28" s="1000"/>
      <c r="S28" s="1000"/>
      <c r="T28" s="1000"/>
      <c r="U28" s="1000">
        <v>4180117992</v>
      </c>
      <c r="V28" s="1000"/>
      <c r="W28" s="1000"/>
      <c r="X28" s="1000"/>
      <c r="Y28" s="1000"/>
      <c r="Z28" s="1000"/>
      <c r="AA28" s="999" t="s">
        <v>1688</v>
      </c>
      <c r="AB28" s="999"/>
      <c r="AC28" s="999"/>
      <c r="AD28" s="999"/>
      <c r="AE28" s="999"/>
      <c r="AF28" s="999"/>
    </row>
    <row r="29" spans="1:32" ht="15.2" customHeight="1" thickTop="1" thickBot="1" x14ac:dyDescent="0.25">
      <c r="A29" s="997" t="s">
        <v>1653</v>
      </c>
      <c r="B29" s="997"/>
      <c r="C29" s="997"/>
      <c r="D29" s="997"/>
      <c r="E29" s="997"/>
      <c r="F29" s="997"/>
      <c r="G29" s="997"/>
      <c r="H29" s="997"/>
      <c r="I29" s="997"/>
      <c r="J29" s="997"/>
      <c r="K29" s="998" t="s">
        <v>1689</v>
      </c>
      <c r="L29" s="998"/>
      <c r="M29" s="998"/>
      <c r="N29" s="998"/>
      <c r="O29" s="1000" t="s">
        <v>1690</v>
      </c>
      <c r="P29" s="1000"/>
      <c r="Q29" s="1000"/>
      <c r="R29" s="1000"/>
      <c r="S29" s="1000"/>
      <c r="T29" s="1000"/>
      <c r="U29" s="1000" t="s">
        <v>1691</v>
      </c>
      <c r="V29" s="1000"/>
      <c r="W29" s="1000"/>
      <c r="X29" s="1000"/>
      <c r="Y29" s="1000"/>
      <c r="Z29" s="1000"/>
      <c r="AA29" s="999" t="s">
        <v>1692</v>
      </c>
      <c r="AB29" s="999"/>
      <c r="AC29" s="999"/>
      <c r="AD29" s="999"/>
      <c r="AE29" s="999"/>
      <c r="AF29" s="999"/>
    </row>
    <row r="30" spans="1:32" ht="25.35" customHeight="1" thickTop="1" thickBot="1" x14ac:dyDescent="0.25">
      <c r="A30" s="997" t="s">
        <v>1656</v>
      </c>
      <c r="B30" s="997"/>
      <c r="C30" s="997"/>
      <c r="D30" s="997"/>
      <c r="E30" s="997"/>
      <c r="F30" s="997"/>
      <c r="G30" s="997"/>
      <c r="H30" s="997"/>
      <c r="I30" s="997"/>
      <c r="J30" s="997"/>
      <c r="K30" s="998" t="s">
        <v>1693</v>
      </c>
      <c r="L30" s="998"/>
      <c r="M30" s="998"/>
      <c r="N30" s="998"/>
      <c r="O30" s="1000" t="s">
        <v>1655</v>
      </c>
      <c r="P30" s="1000"/>
      <c r="Q30" s="1000"/>
      <c r="R30" s="1000"/>
      <c r="S30" s="1000"/>
      <c r="T30" s="1000"/>
      <c r="U30" s="1000" t="s">
        <v>1655</v>
      </c>
      <c r="V30" s="1000"/>
      <c r="W30" s="1000"/>
      <c r="X30" s="1000"/>
      <c r="Y30" s="1000"/>
      <c r="Z30" s="1000"/>
      <c r="AA30" s="999" t="s">
        <v>1655</v>
      </c>
      <c r="AB30" s="999"/>
      <c r="AC30" s="999"/>
      <c r="AD30" s="999"/>
      <c r="AE30" s="999"/>
      <c r="AF30" s="999"/>
    </row>
    <row r="31" spans="1:32" ht="15.2" customHeight="1" thickTop="1" thickBot="1" x14ac:dyDescent="0.25">
      <c r="A31" s="997" t="s">
        <v>1658</v>
      </c>
      <c r="B31" s="997"/>
      <c r="C31" s="997"/>
      <c r="D31" s="997"/>
      <c r="E31" s="997"/>
      <c r="F31" s="997"/>
      <c r="G31" s="997"/>
      <c r="H31" s="997"/>
      <c r="I31" s="997"/>
      <c r="J31" s="997"/>
      <c r="K31" s="998" t="s">
        <v>1694</v>
      </c>
      <c r="L31" s="998"/>
      <c r="M31" s="998"/>
      <c r="N31" s="998"/>
      <c r="O31" s="1000" t="s">
        <v>1695</v>
      </c>
      <c r="P31" s="1000"/>
      <c r="Q31" s="1000"/>
      <c r="R31" s="1000"/>
      <c r="S31" s="1000"/>
      <c r="T31" s="1000"/>
      <c r="U31" s="1000" t="s">
        <v>1696</v>
      </c>
      <c r="V31" s="1000"/>
      <c r="W31" s="1000"/>
      <c r="X31" s="1000"/>
      <c r="Y31" s="1000"/>
      <c r="Z31" s="1000"/>
      <c r="AA31" s="999" t="s">
        <v>1697</v>
      </c>
      <c r="AB31" s="999"/>
      <c r="AC31" s="999"/>
      <c r="AD31" s="999"/>
      <c r="AE31" s="999"/>
      <c r="AF31" s="999"/>
    </row>
    <row r="32" spans="1:32" ht="15.2" customHeight="1" thickTop="1" thickBot="1" x14ac:dyDescent="0.25">
      <c r="A32" s="997" t="s">
        <v>1660</v>
      </c>
      <c r="B32" s="997"/>
      <c r="C32" s="997"/>
      <c r="D32" s="997"/>
      <c r="E32" s="997"/>
      <c r="F32" s="997"/>
      <c r="G32" s="997"/>
      <c r="H32" s="997"/>
      <c r="I32" s="997"/>
      <c r="J32" s="997"/>
      <c r="K32" s="998" t="s">
        <v>1698</v>
      </c>
      <c r="L32" s="998"/>
      <c r="M32" s="998"/>
      <c r="N32" s="998"/>
      <c r="O32" s="1000">
        <v>434015709</v>
      </c>
      <c r="P32" s="1000"/>
      <c r="Q32" s="1000"/>
      <c r="R32" s="1000"/>
      <c r="S32" s="1000"/>
      <c r="T32" s="1000"/>
      <c r="U32" s="1000">
        <v>428474189</v>
      </c>
      <c r="V32" s="1000"/>
      <c r="W32" s="1000"/>
      <c r="X32" s="1000"/>
      <c r="Y32" s="1000"/>
      <c r="Z32" s="1000"/>
      <c r="AA32" s="999" t="s">
        <v>1699</v>
      </c>
      <c r="AB32" s="999"/>
      <c r="AC32" s="999"/>
      <c r="AD32" s="999"/>
      <c r="AE32" s="999"/>
      <c r="AF32" s="999"/>
    </row>
    <row r="33" spans="1:32" ht="25.35" customHeight="1" thickTop="1" thickBot="1" x14ac:dyDescent="0.25">
      <c r="A33" s="997" t="s">
        <v>1700</v>
      </c>
      <c r="B33" s="997"/>
      <c r="C33" s="997"/>
      <c r="D33" s="997"/>
      <c r="E33" s="997"/>
      <c r="F33" s="997"/>
      <c r="G33" s="997"/>
      <c r="H33" s="997"/>
      <c r="I33" s="997"/>
      <c r="J33" s="997"/>
      <c r="K33" s="998" t="s">
        <v>1701</v>
      </c>
      <c r="L33" s="998"/>
      <c r="M33" s="998"/>
      <c r="N33" s="998"/>
      <c r="O33" s="1000" t="s">
        <v>1702</v>
      </c>
      <c r="P33" s="1000"/>
      <c r="Q33" s="1000"/>
      <c r="R33" s="1000"/>
      <c r="S33" s="1000"/>
      <c r="T33" s="1000"/>
      <c r="U33" s="1000" t="s">
        <v>1703</v>
      </c>
      <c r="V33" s="1000"/>
      <c r="W33" s="1000"/>
      <c r="X33" s="1000"/>
      <c r="Y33" s="1000"/>
      <c r="Z33" s="1000"/>
      <c r="AA33" s="999" t="s">
        <v>1704</v>
      </c>
      <c r="AB33" s="999"/>
      <c r="AC33" s="999"/>
      <c r="AD33" s="999"/>
      <c r="AE33" s="999"/>
      <c r="AF33" s="999"/>
    </row>
    <row r="34" spans="1:32" ht="15.2" customHeight="1" thickTop="1" thickBot="1" x14ac:dyDescent="0.25">
      <c r="A34" s="997" t="s">
        <v>1653</v>
      </c>
      <c r="B34" s="997"/>
      <c r="C34" s="997"/>
      <c r="D34" s="997"/>
      <c r="E34" s="997"/>
      <c r="F34" s="997"/>
      <c r="G34" s="997"/>
      <c r="H34" s="997"/>
      <c r="I34" s="997"/>
      <c r="J34" s="997"/>
      <c r="K34" s="998" t="s">
        <v>1705</v>
      </c>
      <c r="L34" s="998"/>
      <c r="M34" s="998"/>
      <c r="N34" s="998"/>
      <c r="O34" s="1000" t="s">
        <v>1706</v>
      </c>
      <c r="P34" s="1000"/>
      <c r="Q34" s="1000"/>
      <c r="R34" s="1000"/>
      <c r="S34" s="1000"/>
      <c r="T34" s="1000"/>
      <c r="U34" s="1000" t="s">
        <v>1706</v>
      </c>
      <c r="V34" s="1000"/>
      <c r="W34" s="1000"/>
      <c r="X34" s="1000"/>
      <c r="Y34" s="1000"/>
      <c r="Z34" s="1000"/>
      <c r="AA34" s="999" t="s">
        <v>1707</v>
      </c>
      <c r="AB34" s="999"/>
      <c r="AC34" s="999"/>
      <c r="AD34" s="999"/>
      <c r="AE34" s="999"/>
      <c r="AF34" s="999"/>
    </row>
    <row r="35" spans="1:32" ht="25.35" customHeight="1" thickTop="1" thickBot="1" x14ac:dyDescent="0.25">
      <c r="A35" s="997" t="s">
        <v>1656</v>
      </c>
      <c r="B35" s="997"/>
      <c r="C35" s="997"/>
      <c r="D35" s="997"/>
      <c r="E35" s="997"/>
      <c r="F35" s="997"/>
      <c r="G35" s="997"/>
      <c r="H35" s="997"/>
      <c r="I35" s="997"/>
      <c r="J35" s="997"/>
      <c r="K35" s="998" t="s">
        <v>1708</v>
      </c>
      <c r="L35" s="998"/>
      <c r="M35" s="998"/>
      <c r="N35" s="998"/>
      <c r="O35" s="1000" t="s">
        <v>1655</v>
      </c>
      <c r="P35" s="1000"/>
      <c r="Q35" s="1000"/>
      <c r="R35" s="1000"/>
      <c r="S35" s="1000"/>
      <c r="T35" s="1000"/>
      <c r="U35" s="1000" t="s">
        <v>1655</v>
      </c>
      <c r="V35" s="1000"/>
      <c r="W35" s="1000"/>
      <c r="X35" s="1000"/>
      <c r="Y35" s="1000"/>
      <c r="Z35" s="1000"/>
      <c r="AA35" s="999" t="s">
        <v>1655</v>
      </c>
      <c r="AB35" s="999"/>
      <c r="AC35" s="999"/>
      <c r="AD35" s="999"/>
      <c r="AE35" s="999"/>
      <c r="AF35" s="999"/>
    </row>
    <row r="36" spans="1:32" ht="15.2" customHeight="1" thickTop="1" thickBot="1" x14ac:dyDescent="0.25">
      <c r="A36" s="997" t="s">
        <v>1658</v>
      </c>
      <c r="B36" s="997"/>
      <c r="C36" s="997"/>
      <c r="D36" s="997"/>
      <c r="E36" s="997"/>
      <c r="F36" s="997"/>
      <c r="G36" s="997"/>
      <c r="H36" s="997"/>
      <c r="I36" s="997"/>
      <c r="J36" s="997"/>
      <c r="K36" s="998" t="s">
        <v>1709</v>
      </c>
      <c r="L36" s="998"/>
      <c r="M36" s="998"/>
      <c r="N36" s="998"/>
      <c r="O36" s="1000" t="s">
        <v>1710</v>
      </c>
      <c r="P36" s="1000"/>
      <c r="Q36" s="1000"/>
      <c r="R36" s="1000"/>
      <c r="S36" s="1000"/>
      <c r="T36" s="1000"/>
      <c r="U36" s="1000" t="s">
        <v>1711</v>
      </c>
      <c r="V36" s="1000"/>
      <c r="W36" s="1000"/>
      <c r="X36" s="1000"/>
      <c r="Y36" s="1000"/>
      <c r="Z36" s="1000"/>
      <c r="AA36" s="999" t="s">
        <v>1712</v>
      </c>
      <c r="AB36" s="999"/>
      <c r="AC36" s="999"/>
      <c r="AD36" s="999"/>
      <c r="AE36" s="999"/>
      <c r="AF36" s="999"/>
    </row>
    <row r="37" spans="1:32" ht="15.2" customHeight="1" thickTop="1" thickBot="1" x14ac:dyDescent="0.25">
      <c r="A37" s="997" t="s">
        <v>1660</v>
      </c>
      <c r="B37" s="997"/>
      <c r="C37" s="997"/>
      <c r="D37" s="997"/>
      <c r="E37" s="997"/>
      <c r="F37" s="997"/>
      <c r="G37" s="997"/>
      <c r="H37" s="997"/>
      <c r="I37" s="997"/>
      <c r="J37" s="997"/>
      <c r="K37" s="998" t="s">
        <v>1713</v>
      </c>
      <c r="L37" s="998"/>
      <c r="M37" s="998"/>
      <c r="N37" s="998"/>
      <c r="O37" s="1000" t="s">
        <v>1714</v>
      </c>
      <c r="P37" s="1000"/>
      <c r="Q37" s="1000"/>
      <c r="R37" s="1000"/>
      <c r="S37" s="1000"/>
      <c r="T37" s="1000"/>
      <c r="U37" s="1000" t="s">
        <v>1715</v>
      </c>
      <c r="V37" s="1000"/>
      <c r="W37" s="1000"/>
      <c r="X37" s="1000"/>
      <c r="Y37" s="1000"/>
      <c r="Z37" s="1000"/>
      <c r="AA37" s="999" t="s">
        <v>1716</v>
      </c>
      <c r="AB37" s="999"/>
      <c r="AC37" s="999"/>
      <c r="AD37" s="999"/>
      <c r="AE37" s="999"/>
      <c r="AF37" s="999"/>
    </row>
    <row r="38" spans="1:32" ht="15.2" customHeight="1" thickTop="1" thickBot="1" x14ac:dyDescent="0.25">
      <c r="A38" s="997" t="s">
        <v>1717</v>
      </c>
      <c r="B38" s="997"/>
      <c r="C38" s="997"/>
      <c r="D38" s="997"/>
      <c r="E38" s="997"/>
      <c r="F38" s="997"/>
      <c r="G38" s="997"/>
      <c r="H38" s="997"/>
      <c r="I38" s="997"/>
      <c r="J38" s="997"/>
      <c r="K38" s="998" t="s">
        <v>1718</v>
      </c>
      <c r="L38" s="998"/>
      <c r="M38" s="998"/>
      <c r="N38" s="998"/>
      <c r="O38" s="1000" t="s">
        <v>1655</v>
      </c>
      <c r="P38" s="1000"/>
      <c r="Q38" s="1000"/>
      <c r="R38" s="1000"/>
      <c r="S38" s="1000"/>
      <c r="T38" s="1000"/>
      <c r="U38" s="1000" t="s">
        <v>1655</v>
      </c>
      <c r="V38" s="1000"/>
      <c r="W38" s="1000"/>
      <c r="X38" s="1000"/>
      <c r="Y38" s="1000"/>
      <c r="Z38" s="1000"/>
      <c r="AA38" s="999" t="s">
        <v>1655</v>
      </c>
      <c r="AB38" s="999"/>
      <c r="AC38" s="999"/>
      <c r="AD38" s="999"/>
      <c r="AE38" s="999"/>
      <c r="AF38" s="999"/>
    </row>
    <row r="39" spans="1:32" ht="15.2" customHeight="1" thickTop="1" thickBot="1" x14ac:dyDescent="0.25">
      <c r="A39" s="997" t="s">
        <v>1653</v>
      </c>
      <c r="B39" s="997"/>
      <c r="C39" s="997"/>
      <c r="D39" s="997"/>
      <c r="E39" s="997"/>
      <c r="F39" s="997"/>
      <c r="G39" s="997"/>
      <c r="H39" s="997"/>
      <c r="I39" s="997"/>
      <c r="J39" s="997"/>
      <c r="K39" s="998" t="s">
        <v>1719</v>
      </c>
      <c r="L39" s="998"/>
      <c r="M39" s="998"/>
      <c r="N39" s="998"/>
      <c r="O39" s="1000" t="s">
        <v>1655</v>
      </c>
      <c r="P39" s="1000"/>
      <c r="Q39" s="1000"/>
      <c r="R39" s="1000"/>
      <c r="S39" s="1000"/>
      <c r="T39" s="1000"/>
      <c r="U39" s="1000" t="s">
        <v>1655</v>
      </c>
      <c r="V39" s="1000"/>
      <c r="W39" s="1000"/>
      <c r="X39" s="1000"/>
      <c r="Y39" s="1000"/>
      <c r="Z39" s="1000"/>
      <c r="AA39" s="999" t="s">
        <v>1655</v>
      </c>
      <c r="AB39" s="999"/>
      <c r="AC39" s="999"/>
      <c r="AD39" s="999"/>
      <c r="AE39" s="999"/>
      <c r="AF39" s="999"/>
    </row>
    <row r="40" spans="1:32" ht="25.35" customHeight="1" thickTop="1" thickBot="1" x14ac:dyDescent="0.25">
      <c r="A40" s="997" t="s">
        <v>1656</v>
      </c>
      <c r="B40" s="997"/>
      <c r="C40" s="997"/>
      <c r="D40" s="997"/>
      <c r="E40" s="997"/>
      <c r="F40" s="997"/>
      <c r="G40" s="997"/>
      <c r="H40" s="997"/>
      <c r="I40" s="997"/>
      <c r="J40" s="997"/>
      <c r="K40" s="998" t="s">
        <v>1720</v>
      </c>
      <c r="L40" s="998"/>
      <c r="M40" s="998"/>
      <c r="N40" s="998"/>
      <c r="O40" s="1000" t="s">
        <v>1655</v>
      </c>
      <c r="P40" s="1000"/>
      <c r="Q40" s="1000"/>
      <c r="R40" s="1000"/>
      <c r="S40" s="1000"/>
      <c r="T40" s="1000"/>
      <c r="U40" s="1000" t="s">
        <v>1655</v>
      </c>
      <c r="V40" s="1000"/>
      <c r="W40" s="1000"/>
      <c r="X40" s="1000"/>
      <c r="Y40" s="1000"/>
      <c r="Z40" s="1000"/>
      <c r="AA40" s="999" t="s">
        <v>1655</v>
      </c>
      <c r="AB40" s="999"/>
      <c r="AC40" s="999"/>
      <c r="AD40" s="999"/>
      <c r="AE40" s="999"/>
      <c r="AF40" s="999"/>
    </row>
    <row r="41" spans="1:32" ht="15.2" customHeight="1" thickTop="1" thickBot="1" x14ac:dyDescent="0.25">
      <c r="A41" s="997" t="s">
        <v>1658</v>
      </c>
      <c r="B41" s="997"/>
      <c r="C41" s="997"/>
      <c r="D41" s="997"/>
      <c r="E41" s="997"/>
      <c r="F41" s="997"/>
      <c r="G41" s="997"/>
      <c r="H41" s="997"/>
      <c r="I41" s="997"/>
      <c r="J41" s="997"/>
      <c r="K41" s="998" t="s">
        <v>1721</v>
      </c>
      <c r="L41" s="998"/>
      <c r="M41" s="998"/>
      <c r="N41" s="998"/>
      <c r="O41" s="1000" t="s">
        <v>1655</v>
      </c>
      <c r="P41" s="1000"/>
      <c r="Q41" s="1000"/>
      <c r="R41" s="1000"/>
      <c r="S41" s="1000"/>
      <c r="T41" s="1000"/>
      <c r="U41" s="1000" t="s">
        <v>1655</v>
      </c>
      <c r="V41" s="1000"/>
      <c r="W41" s="1000"/>
      <c r="X41" s="1000"/>
      <c r="Y41" s="1000"/>
      <c r="Z41" s="1000"/>
      <c r="AA41" s="999" t="s">
        <v>1655</v>
      </c>
      <c r="AB41" s="999"/>
      <c r="AC41" s="999"/>
      <c r="AD41" s="999"/>
      <c r="AE41" s="999"/>
      <c r="AF41" s="999"/>
    </row>
    <row r="42" spans="1:32" ht="15.2" customHeight="1" thickTop="1" thickBot="1" x14ac:dyDescent="0.25">
      <c r="A42" s="997" t="s">
        <v>1660</v>
      </c>
      <c r="B42" s="997"/>
      <c r="C42" s="997"/>
      <c r="D42" s="997"/>
      <c r="E42" s="997"/>
      <c r="F42" s="997"/>
      <c r="G42" s="997"/>
      <c r="H42" s="997"/>
      <c r="I42" s="997"/>
      <c r="J42" s="997"/>
      <c r="K42" s="998" t="s">
        <v>1722</v>
      </c>
      <c r="L42" s="998"/>
      <c r="M42" s="998"/>
      <c r="N42" s="998"/>
      <c r="O42" s="1000" t="s">
        <v>1655</v>
      </c>
      <c r="P42" s="1000"/>
      <c r="Q42" s="1000"/>
      <c r="R42" s="1000"/>
      <c r="S42" s="1000"/>
      <c r="T42" s="1000"/>
      <c r="U42" s="1000" t="s">
        <v>1655</v>
      </c>
      <c r="V42" s="1000"/>
      <c r="W42" s="1000"/>
      <c r="X42" s="1000"/>
      <c r="Y42" s="1000"/>
      <c r="Z42" s="1000"/>
      <c r="AA42" s="999" t="s">
        <v>1655</v>
      </c>
      <c r="AB42" s="999"/>
      <c r="AC42" s="999"/>
      <c r="AD42" s="999"/>
      <c r="AE42" s="999"/>
      <c r="AF42" s="999"/>
    </row>
    <row r="43" spans="1:32" ht="15.2" customHeight="1" thickTop="1" thickBot="1" x14ac:dyDescent="0.25">
      <c r="A43" s="997" t="s">
        <v>1723</v>
      </c>
      <c r="B43" s="997"/>
      <c r="C43" s="997"/>
      <c r="D43" s="997"/>
      <c r="E43" s="997"/>
      <c r="F43" s="997"/>
      <c r="G43" s="997"/>
      <c r="H43" s="997"/>
      <c r="I43" s="997"/>
      <c r="J43" s="997"/>
      <c r="K43" s="998" t="s">
        <v>1724</v>
      </c>
      <c r="L43" s="998"/>
      <c r="M43" s="998"/>
      <c r="N43" s="998"/>
      <c r="O43" s="1000" t="s">
        <v>1725</v>
      </c>
      <c r="P43" s="1000"/>
      <c r="Q43" s="1000"/>
      <c r="R43" s="1000"/>
      <c r="S43" s="1000"/>
      <c r="T43" s="1000"/>
      <c r="U43" s="1000" t="s">
        <v>1726</v>
      </c>
      <c r="V43" s="1000"/>
      <c r="W43" s="1000"/>
      <c r="X43" s="1000"/>
      <c r="Y43" s="1000"/>
      <c r="Z43" s="1000"/>
      <c r="AA43" s="999" t="s">
        <v>1727</v>
      </c>
      <c r="AB43" s="999"/>
      <c r="AC43" s="999"/>
      <c r="AD43" s="999"/>
      <c r="AE43" s="999"/>
      <c r="AF43" s="999"/>
    </row>
    <row r="44" spans="1:32" ht="15.2" customHeight="1" thickTop="1" thickBot="1" x14ac:dyDescent="0.25">
      <c r="A44" s="997" t="s">
        <v>1653</v>
      </c>
      <c r="B44" s="997"/>
      <c r="C44" s="997"/>
      <c r="D44" s="997"/>
      <c r="E44" s="997"/>
      <c r="F44" s="997"/>
      <c r="G44" s="997"/>
      <c r="H44" s="997"/>
      <c r="I44" s="997"/>
      <c r="J44" s="997"/>
      <c r="K44" s="998" t="s">
        <v>1728</v>
      </c>
      <c r="L44" s="998"/>
      <c r="M44" s="998"/>
      <c r="N44" s="998"/>
      <c r="O44" s="1000" t="s">
        <v>1655</v>
      </c>
      <c r="P44" s="1000"/>
      <c r="Q44" s="1000"/>
      <c r="R44" s="1000"/>
      <c r="S44" s="1000"/>
      <c r="T44" s="1000"/>
      <c r="U44" s="1000" t="s">
        <v>1655</v>
      </c>
      <c r="V44" s="1000"/>
      <c r="W44" s="1000"/>
      <c r="X44" s="1000"/>
      <c r="Y44" s="1000"/>
      <c r="Z44" s="1000"/>
      <c r="AA44" s="999" t="s">
        <v>1655</v>
      </c>
      <c r="AB44" s="999"/>
      <c r="AC44" s="999"/>
      <c r="AD44" s="999"/>
      <c r="AE44" s="999"/>
      <c r="AF44" s="999"/>
    </row>
    <row r="45" spans="1:32" ht="25.35" customHeight="1" thickTop="1" thickBot="1" x14ac:dyDescent="0.25">
      <c r="A45" s="997" t="s">
        <v>1656</v>
      </c>
      <c r="B45" s="997"/>
      <c r="C45" s="997"/>
      <c r="D45" s="997"/>
      <c r="E45" s="997"/>
      <c r="F45" s="997"/>
      <c r="G45" s="997"/>
      <c r="H45" s="997"/>
      <c r="I45" s="997"/>
      <c r="J45" s="997"/>
      <c r="K45" s="998" t="s">
        <v>1729</v>
      </c>
      <c r="L45" s="998"/>
      <c r="M45" s="998"/>
      <c r="N45" s="998"/>
      <c r="O45" s="1000" t="s">
        <v>1655</v>
      </c>
      <c r="P45" s="1000"/>
      <c r="Q45" s="1000"/>
      <c r="R45" s="1000"/>
      <c r="S45" s="1000"/>
      <c r="T45" s="1000"/>
      <c r="U45" s="1000" t="s">
        <v>1655</v>
      </c>
      <c r="V45" s="1000"/>
      <c r="W45" s="1000"/>
      <c r="X45" s="1000"/>
      <c r="Y45" s="1000"/>
      <c r="Z45" s="1000"/>
      <c r="AA45" s="999" t="s">
        <v>1655</v>
      </c>
      <c r="AB45" s="999"/>
      <c r="AC45" s="999"/>
      <c r="AD45" s="999"/>
      <c r="AE45" s="999"/>
      <c r="AF45" s="999"/>
    </row>
    <row r="46" spans="1:32" ht="15.2" customHeight="1" thickTop="1" thickBot="1" x14ac:dyDescent="0.25">
      <c r="A46" s="997" t="s">
        <v>1658</v>
      </c>
      <c r="B46" s="997"/>
      <c r="C46" s="997"/>
      <c r="D46" s="997"/>
      <c r="E46" s="997"/>
      <c r="F46" s="997"/>
      <c r="G46" s="997"/>
      <c r="H46" s="997"/>
      <c r="I46" s="997"/>
      <c r="J46" s="997"/>
      <c r="K46" s="998" t="s">
        <v>1730</v>
      </c>
      <c r="L46" s="998"/>
      <c r="M46" s="998"/>
      <c r="N46" s="998"/>
      <c r="O46" s="1000" t="s">
        <v>1655</v>
      </c>
      <c r="P46" s="1000"/>
      <c r="Q46" s="1000"/>
      <c r="R46" s="1000"/>
      <c r="S46" s="1000"/>
      <c r="T46" s="1000"/>
      <c r="U46" s="1000" t="s">
        <v>1655</v>
      </c>
      <c r="V46" s="1000"/>
      <c r="W46" s="1000"/>
      <c r="X46" s="1000"/>
      <c r="Y46" s="1000"/>
      <c r="Z46" s="1000"/>
      <c r="AA46" s="999" t="s">
        <v>1655</v>
      </c>
      <c r="AB46" s="999"/>
      <c r="AC46" s="999"/>
      <c r="AD46" s="999"/>
      <c r="AE46" s="999"/>
      <c r="AF46" s="999"/>
    </row>
    <row r="47" spans="1:32" ht="15.2" customHeight="1" thickTop="1" thickBot="1" x14ac:dyDescent="0.25">
      <c r="A47" s="997" t="s">
        <v>1660</v>
      </c>
      <c r="B47" s="997"/>
      <c r="C47" s="997"/>
      <c r="D47" s="997"/>
      <c r="E47" s="997"/>
      <c r="F47" s="997"/>
      <c r="G47" s="997"/>
      <c r="H47" s="997"/>
      <c r="I47" s="997"/>
      <c r="J47" s="997"/>
      <c r="K47" s="998" t="s">
        <v>1731</v>
      </c>
      <c r="L47" s="998"/>
      <c r="M47" s="998"/>
      <c r="N47" s="998"/>
      <c r="O47" s="1000" t="s">
        <v>1725</v>
      </c>
      <c r="P47" s="1000"/>
      <c r="Q47" s="1000"/>
      <c r="R47" s="1000"/>
      <c r="S47" s="1000"/>
      <c r="T47" s="1000"/>
      <c r="U47" s="1000" t="s">
        <v>1726</v>
      </c>
      <c r="V47" s="1000"/>
      <c r="W47" s="1000"/>
      <c r="X47" s="1000"/>
      <c r="Y47" s="1000"/>
      <c r="Z47" s="1000"/>
      <c r="AA47" s="999" t="s">
        <v>1727</v>
      </c>
      <c r="AB47" s="999"/>
      <c r="AC47" s="999"/>
      <c r="AD47" s="999"/>
      <c r="AE47" s="999"/>
      <c r="AF47" s="999"/>
    </row>
    <row r="48" spans="1:32" ht="15.2" customHeight="1" thickTop="1" thickBot="1" x14ac:dyDescent="0.25">
      <c r="A48" s="997" t="s">
        <v>1732</v>
      </c>
      <c r="B48" s="997"/>
      <c r="C48" s="997"/>
      <c r="D48" s="997"/>
      <c r="E48" s="997"/>
      <c r="F48" s="997"/>
      <c r="G48" s="997"/>
      <c r="H48" s="997"/>
      <c r="I48" s="997"/>
      <c r="J48" s="997"/>
      <c r="K48" s="998" t="s">
        <v>1733</v>
      </c>
      <c r="L48" s="998"/>
      <c r="M48" s="998"/>
      <c r="N48" s="998"/>
      <c r="O48" s="1000" t="s">
        <v>1655</v>
      </c>
      <c r="P48" s="1000"/>
      <c r="Q48" s="1000"/>
      <c r="R48" s="1000"/>
      <c r="S48" s="1000"/>
      <c r="T48" s="1000"/>
      <c r="U48" s="1000" t="s">
        <v>1655</v>
      </c>
      <c r="V48" s="1000"/>
      <c r="W48" s="1000"/>
      <c r="X48" s="1000"/>
      <c r="Y48" s="1000"/>
      <c r="Z48" s="1000"/>
      <c r="AA48" s="999" t="s">
        <v>1655</v>
      </c>
      <c r="AB48" s="999"/>
      <c r="AC48" s="999"/>
      <c r="AD48" s="999"/>
      <c r="AE48" s="999"/>
      <c r="AF48" s="999"/>
    </row>
    <row r="49" spans="1:32" ht="15.2" customHeight="1" thickTop="1" thickBot="1" x14ac:dyDescent="0.25">
      <c r="A49" s="997" t="s">
        <v>1653</v>
      </c>
      <c r="B49" s="997"/>
      <c r="C49" s="997"/>
      <c r="D49" s="997"/>
      <c r="E49" s="997"/>
      <c r="F49" s="997"/>
      <c r="G49" s="997"/>
      <c r="H49" s="997"/>
      <c r="I49" s="997"/>
      <c r="J49" s="997"/>
      <c r="K49" s="998" t="s">
        <v>1734</v>
      </c>
      <c r="L49" s="998"/>
      <c r="M49" s="998"/>
      <c r="N49" s="998"/>
      <c r="O49" s="1000" t="s">
        <v>1655</v>
      </c>
      <c r="P49" s="1000"/>
      <c r="Q49" s="1000"/>
      <c r="R49" s="1000"/>
      <c r="S49" s="1000"/>
      <c r="T49" s="1000"/>
      <c r="U49" s="1000" t="s">
        <v>1655</v>
      </c>
      <c r="V49" s="1000"/>
      <c r="W49" s="1000"/>
      <c r="X49" s="1000"/>
      <c r="Y49" s="1000"/>
      <c r="Z49" s="1000"/>
      <c r="AA49" s="999" t="s">
        <v>1655</v>
      </c>
      <c r="AB49" s="999"/>
      <c r="AC49" s="999"/>
      <c r="AD49" s="999"/>
      <c r="AE49" s="999"/>
      <c r="AF49" s="999"/>
    </row>
    <row r="50" spans="1:32" ht="25.35" customHeight="1" thickTop="1" thickBot="1" x14ac:dyDescent="0.25">
      <c r="A50" s="997" t="s">
        <v>1656</v>
      </c>
      <c r="B50" s="997"/>
      <c r="C50" s="997"/>
      <c r="D50" s="997"/>
      <c r="E50" s="997"/>
      <c r="F50" s="997"/>
      <c r="G50" s="997"/>
      <c r="H50" s="997"/>
      <c r="I50" s="997"/>
      <c r="J50" s="997"/>
      <c r="K50" s="998" t="s">
        <v>1735</v>
      </c>
      <c r="L50" s="998"/>
      <c r="M50" s="998"/>
      <c r="N50" s="998"/>
      <c r="O50" s="1000" t="s">
        <v>1655</v>
      </c>
      <c r="P50" s="1000"/>
      <c r="Q50" s="1000"/>
      <c r="R50" s="1000"/>
      <c r="S50" s="1000"/>
      <c r="T50" s="1000"/>
      <c r="U50" s="1000" t="s">
        <v>1655</v>
      </c>
      <c r="V50" s="1000"/>
      <c r="W50" s="1000"/>
      <c r="X50" s="1000"/>
      <c r="Y50" s="1000"/>
      <c r="Z50" s="1000"/>
      <c r="AA50" s="999" t="s">
        <v>1655</v>
      </c>
      <c r="AB50" s="999"/>
      <c r="AC50" s="999"/>
      <c r="AD50" s="999"/>
      <c r="AE50" s="999"/>
      <c r="AF50" s="999"/>
    </row>
    <row r="51" spans="1:32" ht="15.2" customHeight="1" thickTop="1" thickBot="1" x14ac:dyDescent="0.25">
      <c r="A51" s="997" t="s">
        <v>1658</v>
      </c>
      <c r="B51" s="997"/>
      <c r="C51" s="997"/>
      <c r="D51" s="997"/>
      <c r="E51" s="997"/>
      <c r="F51" s="997"/>
      <c r="G51" s="997"/>
      <c r="H51" s="997"/>
      <c r="I51" s="997"/>
      <c r="J51" s="997"/>
      <c r="K51" s="998" t="s">
        <v>1736</v>
      </c>
      <c r="L51" s="998"/>
      <c r="M51" s="998"/>
      <c r="N51" s="998"/>
      <c r="O51" s="1000" t="s">
        <v>1655</v>
      </c>
      <c r="P51" s="1000"/>
      <c r="Q51" s="1000"/>
      <c r="R51" s="1000"/>
      <c r="S51" s="1000"/>
      <c r="T51" s="1000"/>
      <c r="U51" s="1000" t="s">
        <v>1655</v>
      </c>
      <c r="V51" s="1000"/>
      <c r="W51" s="1000"/>
      <c r="X51" s="1000"/>
      <c r="Y51" s="1000"/>
      <c r="Z51" s="1000"/>
      <c r="AA51" s="999" t="s">
        <v>1655</v>
      </c>
      <c r="AB51" s="999"/>
      <c r="AC51" s="999"/>
      <c r="AD51" s="999"/>
      <c r="AE51" s="999"/>
      <c r="AF51" s="999"/>
    </row>
    <row r="52" spans="1:32" ht="15.2" customHeight="1" thickTop="1" thickBot="1" x14ac:dyDescent="0.25">
      <c r="A52" s="997" t="s">
        <v>1660</v>
      </c>
      <c r="B52" s="997"/>
      <c r="C52" s="997"/>
      <c r="D52" s="997"/>
      <c r="E52" s="997"/>
      <c r="F52" s="997"/>
      <c r="G52" s="997"/>
      <c r="H52" s="997"/>
      <c r="I52" s="997"/>
      <c r="J52" s="997"/>
      <c r="K52" s="998" t="s">
        <v>1737</v>
      </c>
      <c r="L52" s="998"/>
      <c r="M52" s="998"/>
      <c r="N52" s="998"/>
      <c r="O52" s="1000" t="s">
        <v>1655</v>
      </c>
      <c r="P52" s="1000"/>
      <c r="Q52" s="1000"/>
      <c r="R52" s="1000"/>
      <c r="S52" s="1000"/>
      <c r="T52" s="1000"/>
      <c r="U52" s="1000" t="s">
        <v>1655</v>
      </c>
      <c r="V52" s="1000"/>
      <c r="W52" s="1000"/>
      <c r="X52" s="1000"/>
      <c r="Y52" s="1000"/>
      <c r="Z52" s="1000"/>
      <c r="AA52" s="999" t="s">
        <v>1655</v>
      </c>
      <c r="AB52" s="999"/>
      <c r="AC52" s="999"/>
      <c r="AD52" s="999"/>
      <c r="AE52" s="999"/>
      <c r="AF52" s="999"/>
    </row>
    <row r="53" spans="1:32" ht="15.2" customHeight="1" thickTop="1" thickBot="1" x14ac:dyDescent="0.25">
      <c r="A53" s="997" t="s">
        <v>1738</v>
      </c>
      <c r="B53" s="997"/>
      <c r="C53" s="997"/>
      <c r="D53" s="997"/>
      <c r="E53" s="997"/>
      <c r="F53" s="997"/>
      <c r="G53" s="997"/>
      <c r="H53" s="997"/>
      <c r="I53" s="997"/>
      <c r="J53" s="997"/>
      <c r="K53" s="998" t="s">
        <v>1739</v>
      </c>
      <c r="L53" s="998"/>
      <c r="M53" s="998"/>
      <c r="N53" s="998"/>
      <c r="O53" s="1000" t="s">
        <v>1740</v>
      </c>
      <c r="P53" s="1000"/>
      <c r="Q53" s="1000"/>
      <c r="R53" s="1000"/>
      <c r="S53" s="1000"/>
      <c r="T53" s="1000"/>
      <c r="U53" s="1000" t="s">
        <v>1740</v>
      </c>
      <c r="V53" s="1000"/>
      <c r="W53" s="1000"/>
      <c r="X53" s="1000"/>
      <c r="Y53" s="1000"/>
      <c r="Z53" s="1000"/>
      <c r="AA53" s="999" t="s">
        <v>1707</v>
      </c>
      <c r="AB53" s="999"/>
      <c r="AC53" s="999"/>
      <c r="AD53" s="999"/>
      <c r="AE53" s="999"/>
      <c r="AF53" s="999"/>
    </row>
    <row r="54" spans="1:32" ht="15.2" customHeight="1" thickTop="1" thickBot="1" x14ac:dyDescent="0.25">
      <c r="A54" s="997" t="s">
        <v>1741</v>
      </c>
      <c r="B54" s="997"/>
      <c r="C54" s="997"/>
      <c r="D54" s="997"/>
      <c r="E54" s="997"/>
      <c r="F54" s="997"/>
      <c r="G54" s="997"/>
      <c r="H54" s="997"/>
      <c r="I54" s="997"/>
      <c r="J54" s="997"/>
      <c r="K54" s="998" t="s">
        <v>1742</v>
      </c>
      <c r="L54" s="998"/>
      <c r="M54" s="998"/>
      <c r="N54" s="998"/>
      <c r="O54" s="1000" t="s">
        <v>1740</v>
      </c>
      <c r="P54" s="1000"/>
      <c r="Q54" s="1000"/>
      <c r="R54" s="1000"/>
      <c r="S54" s="1000"/>
      <c r="T54" s="1000"/>
      <c r="U54" s="1000" t="s">
        <v>1740</v>
      </c>
      <c r="V54" s="1000"/>
      <c r="W54" s="1000"/>
      <c r="X54" s="1000"/>
      <c r="Y54" s="1000"/>
      <c r="Z54" s="1000"/>
      <c r="AA54" s="999" t="s">
        <v>1707</v>
      </c>
      <c r="AB54" s="999"/>
      <c r="AC54" s="999"/>
      <c r="AD54" s="999"/>
      <c r="AE54" s="999"/>
      <c r="AF54" s="999"/>
    </row>
    <row r="55" spans="1:32" ht="15.2" customHeight="1" thickTop="1" thickBot="1" x14ac:dyDescent="0.25">
      <c r="A55" s="997" t="s">
        <v>1653</v>
      </c>
      <c r="B55" s="997"/>
      <c r="C55" s="997"/>
      <c r="D55" s="997"/>
      <c r="E55" s="997"/>
      <c r="F55" s="997"/>
      <c r="G55" s="997"/>
      <c r="H55" s="997"/>
      <c r="I55" s="997"/>
      <c r="J55" s="997"/>
      <c r="K55" s="998" t="s">
        <v>1743</v>
      </c>
      <c r="L55" s="998"/>
      <c r="M55" s="998"/>
      <c r="N55" s="998"/>
      <c r="O55" s="1000" t="s">
        <v>1655</v>
      </c>
      <c r="P55" s="1000"/>
      <c r="Q55" s="1000"/>
      <c r="R55" s="1000"/>
      <c r="S55" s="1000"/>
      <c r="T55" s="1000"/>
      <c r="U55" s="1000" t="s">
        <v>1655</v>
      </c>
      <c r="V55" s="1000"/>
      <c r="W55" s="1000"/>
      <c r="X55" s="1000"/>
      <c r="Y55" s="1000"/>
      <c r="Z55" s="1000"/>
      <c r="AA55" s="999" t="s">
        <v>1655</v>
      </c>
      <c r="AB55" s="999"/>
      <c r="AC55" s="999"/>
      <c r="AD55" s="999"/>
      <c r="AE55" s="999"/>
      <c r="AF55" s="999"/>
    </row>
    <row r="56" spans="1:32" ht="25.35" customHeight="1" thickTop="1" thickBot="1" x14ac:dyDescent="0.25">
      <c r="A56" s="997" t="s">
        <v>1656</v>
      </c>
      <c r="B56" s="997"/>
      <c r="C56" s="997"/>
      <c r="D56" s="997"/>
      <c r="E56" s="997"/>
      <c r="F56" s="997"/>
      <c r="G56" s="997"/>
      <c r="H56" s="997"/>
      <c r="I56" s="997"/>
      <c r="J56" s="997"/>
      <c r="K56" s="998" t="s">
        <v>1744</v>
      </c>
      <c r="L56" s="998"/>
      <c r="M56" s="998"/>
      <c r="N56" s="998"/>
      <c r="O56" s="1000" t="s">
        <v>1655</v>
      </c>
      <c r="P56" s="1000"/>
      <c r="Q56" s="1000"/>
      <c r="R56" s="1000"/>
      <c r="S56" s="1000"/>
      <c r="T56" s="1000"/>
      <c r="U56" s="1000" t="s">
        <v>1655</v>
      </c>
      <c r="V56" s="1000"/>
      <c r="W56" s="1000"/>
      <c r="X56" s="1000"/>
      <c r="Y56" s="1000"/>
      <c r="Z56" s="1000"/>
      <c r="AA56" s="999" t="s">
        <v>1655</v>
      </c>
      <c r="AB56" s="999"/>
      <c r="AC56" s="999"/>
      <c r="AD56" s="999"/>
      <c r="AE56" s="999"/>
      <c r="AF56" s="999"/>
    </row>
    <row r="57" spans="1:32" ht="15.2" customHeight="1" thickTop="1" thickBot="1" x14ac:dyDescent="0.25">
      <c r="A57" s="997" t="s">
        <v>1658</v>
      </c>
      <c r="B57" s="997"/>
      <c r="C57" s="997"/>
      <c r="D57" s="997"/>
      <c r="E57" s="997"/>
      <c r="F57" s="997"/>
      <c r="G57" s="997"/>
      <c r="H57" s="997"/>
      <c r="I57" s="997"/>
      <c r="J57" s="997"/>
      <c r="K57" s="998" t="s">
        <v>1745</v>
      </c>
      <c r="L57" s="998"/>
      <c r="M57" s="998"/>
      <c r="N57" s="998"/>
      <c r="O57" s="1000" t="s">
        <v>1655</v>
      </c>
      <c r="P57" s="1000"/>
      <c r="Q57" s="1000"/>
      <c r="R57" s="1000"/>
      <c r="S57" s="1000"/>
      <c r="T57" s="1000"/>
      <c r="U57" s="1000" t="s">
        <v>1655</v>
      </c>
      <c r="V57" s="1000"/>
      <c r="W57" s="1000"/>
      <c r="X57" s="1000"/>
      <c r="Y57" s="1000"/>
      <c r="Z57" s="1000"/>
      <c r="AA57" s="999" t="s">
        <v>1655</v>
      </c>
      <c r="AB57" s="999"/>
      <c r="AC57" s="999"/>
      <c r="AD57" s="999"/>
      <c r="AE57" s="999"/>
      <c r="AF57" s="999"/>
    </row>
    <row r="58" spans="1:32" ht="15.2" customHeight="1" thickTop="1" thickBot="1" x14ac:dyDescent="0.25">
      <c r="A58" s="997" t="s">
        <v>1660</v>
      </c>
      <c r="B58" s="997"/>
      <c r="C58" s="997"/>
      <c r="D58" s="997"/>
      <c r="E58" s="997"/>
      <c r="F58" s="997"/>
      <c r="G58" s="997"/>
      <c r="H58" s="997"/>
      <c r="I58" s="997"/>
      <c r="J58" s="997"/>
      <c r="K58" s="998" t="s">
        <v>1746</v>
      </c>
      <c r="L58" s="998"/>
      <c r="M58" s="998"/>
      <c r="N58" s="998"/>
      <c r="O58" s="1000" t="s">
        <v>1740</v>
      </c>
      <c r="P58" s="1000"/>
      <c r="Q58" s="1000"/>
      <c r="R58" s="1000"/>
      <c r="S58" s="1000"/>
      <c r="T58" s="1000"/>
      <c r="U58" s="1000" t="s">
        <v>1740</v>
      </c>
      <c r="V58" s="1000"/>
      <c r="W58" s="1000"/>
      <c r="X58" s="1000"/>
      <c r="Y58" s="1000"/>
      <c r="Z58" s="1000"/>
      <c r="AA58" s="999" t="s">
        <v>1707</v>
      </c>
      <c r="AB58" s="999"/>
      <c r="AC58" s="999"/>
      <c r="AD58" s="999"/>
      <c r="AE58" s="999"/>
      <c r="AF58" s="999"/>
    </row>
    <row r="59" spans="1:32" ht="25.35" customHeight="1" thickTop="1" thickBot="1" x14ac:dyDescent="0.25">
      <c r="A59" s="997" t="s">
        <v>1747</v>
      </c>
      <c r="B59" s="997"/>
      <c r="C59" s="997"/>
      <c r="D59" s="997"/>
      <c r="E59" s="997"/>
      <c r="F59" s="997"/>
      <c r="G59" s="997"/>
      <c r="H59" s="997"/>
      <c r="I59" s="997"/>
      <c r="J59" s="997"/>
      <c r="K59" s="998" t="s">
        <v>1748</v>
      </c>
      <c r="L59" s="998"/>
      <c r="M59" s="998"/>
      <c r="N59" s="998"/>
      <c r="O59" s="1000" t="s">
        <v>1655</v>
      </c>
      <c r="P59" s="1000"/>
      <c r="Q59" s="1000"/>
      <c r="R59" s="1000"/>
      <c r="S59" s="1000"/>
      <c r="T59" s="1000"/>
      <c r="U59" s="1000" t="s">
        <v>1655</v>
      </c>
      <c r="V59" s="1000"/>
      <c r="W59" s="1000"/>
      <c r="X59" s="1000"/>
      <c r="Y59" s="1000"/>
      <c r="Z59" s="1000"/>
      <c r="AA59" s="999" t="s">
        <v>1655</v>
      </c>
      <c r="AB59" s="999"/>
      <c r="AC59" s="999"/>
      <c r="AD59" s="999"/>
      <c r="AE59" s="999"/>
      <c r="AF59" s="999"/>
    </row>
    <row r="60" spans="1:32" ht="15.2" customHeight="1" thickTop="1" thickBot="1" x14ac:dyDescent="0.25">
      <c r="A60" s="997" t="s">
        <v>1653</v>
      </c>
      <c r="B60" s="997"/>
      <c r="C60" s="997"/>
      <c r="D60" s="997"/>
      <c r="E60" s="997"/>
      <c r="F60" s="997"/>
      <c r="G60" s="997"/>
      <c r="H60" s="997"/>
      <c r="I60" s="997"/>
      <c r="J60" s="997"/>
      <c r="K60" s="998" t="s">
        <v>1749</v>
      </c>
      <c r="L60" s="998"/>
      <c r="M60" s="998"/>
      <c r="N60" s="998"/>
      <c r="O60" s="1000" t="s">
        <v>1655</v>
      </c>
      <c r="P60" s="1000"/>
      <c r="Q60" s="1000"/>
      <c r="R60" s="1000"/>
      <c r="S60" s="1000"/>
      <c r="T60" s="1000"/>
      <c r="U60" s="1000" t="s">
        <v>1655</v>
      </c>
      <c r="V60" s="1000"/>
      <c r="W60" s="1000"/>
      <c r="X60" s="1000"/>
      <c r="Y60" s="1000"/>
      <c r="Z60" s="1000"/>
      <c r="AA60" s="999" t="s">
        <v>1655</v>
      </c>
      <c r="AB60" s="999"/>
      <c r="AC60" s="999"/>
      <c r="AD60" s="999"/>
      <c r="AE60" s="999"/>
      <c r="AF60" s="999"/>
    </row>
    <row r="61" spans="1:32" ht="25.35" customHeight="1" thickTop="1" thickBot="1" x14ac:dyDescent="0.25">
      <c r="A61" s="997" t="s">
        <v>1656</v>
      </c>
      <c r="B61" s="997"/>
      <c r="C61" s="997"/>
      <c r="D61" s="997"/>
      <c r="E61" s="997"/>
      <c r="F61" s="997"/>
      <c r="G61" s="997"/>
      <c r="H61" s="997"/>
      <c r="I61" s="997"/>
      <c r="J61" s="997"/>
      <c r="K61" s="998" t="s">
        <v>1750</v>
      </c>
      <c r="L61" s="998"/>
      <c r="M61" s="998"/>
      <c r="N61" s="998"/>
      <c r="O61" s="1000" t="s">
        <v>1655</v>
      </c>
      <c r="P61" s="1000"/>
      <c r="Q61" s="1000"/>
      <c r="R61" s="1000"/>
      <c r="S61" s="1000"/>
      <c r="T61" s="1000"/>
      <c r="U61" s="1000" t="s">
        <v>1655</v>
      </c>
      <c r="V61" s="1000"/>
      <c r="W61" s="1000"/>
      <c r="X61" s="1000"/>
      <c r="Y61" s="1000"/>
      <c r="Z61" s="1000"/>
      <c r="AA61" s="999" t="s">
        <v>1655</v>
      </c>
      <c r="AB61" s="999"/>
      <c r="AC61" s="999"/>
      <c r="AD61" s="999"/>
      <c r="AE61" s="999"/>
      <c r="AF61" s="999"/>
    </row>
    <row r="62" spans="1:32" ht="15.2" customHeight="1" thickTop="1" thickBot="1" x14ac:dyDescent="0.25">
      <c r="A62" s="997" t="s">
        <v>1658</v>
      </c>
      <c r="B62" s="997"/>
      <c r="C62" s="997"/>
      <c r="D62" s="997"/>
      <c r="E62" s="997"/>
      <c r="F62" s="997"/>
      <c r="G62" s="997"/>
      <c r="H62" s="997"/>
      <c r="I62" s="997"/>
      <c r="J62" s="997"/>
      <c r="K62" s="998" t="s">
        <v>1751</v>
      </c>
      <c r="L62" s="998"/>
      <c r="M62" s="998"/>
      <c r="N62" s="998"/>
      <c r="O62" s="1000" t="s">
        <v>1655</v>
      </c>
      <c r="P62" s="1000"/>
      <c r="Q62" s="1000"/>
      <c r="R62" s="1000"/>
      <c r="S62" s="1000"/>
      <c r="T62" s="1000"/>
      <c r="U62" s="1000" t="s">
        <v>1655</v>
      </c>
      <c r="V62" s="1000"/>
      <c r="W62" s="1000"/>
      <c r="X62" s="1000"/>
      <c r="Y62" s="1000"/>
      <c r="Z62" s="1000"/>
      <c r="AA62" s="999" t="s">
        <v>1655</v>
      </c>
      <c r="AB62" s="999"/>
      <c r="AC62" s="999"/>
      <c r="AD62" s="999"/>
      <c r="AE62" s="999"/>
      <c r="AF62" s="999"/>
    </row>
    <row r="63" spans="1:32" ht="15.2" customHeight="1" thickTop="1" thickBot="1" x14ac:dyDescent="0.25">
      <c r="A63" s="997" t="s">
        <v>1660</v>
      </c>
      <c r="B63" s="997"/>
      <c r="C63" s="997"/>
      <c r="D63" s="997"/>
      <c r="E63" s="997"/>
      <c r="F63" s="997"/>
      <c r="G63" s="997"/>
      <c r="H63" s="997"/>
      <c r="I63" s="997"/>
      <c r="J63" s="997"/>
      <c r="K63" s="998" t="s">
        <v>1752</v>
      </c>
      <c r="L63" s="998"/>
      <c r="M63" s="998"/>
      <c r="N63" s="998"/>
      <c r="O63" s="1000" t="s">
        <v>1655</v>
      </c>
      <c r="P63" s="1000"/>
      <c r="Q63" s="1000"/>
      <c r="R63" s="1000"/>
      <c r="S63" s="1000"/>
      <c r="T63" s="1000"/>
      <c r="U63" s="1000" t="s">
        <v>1655</v>
      </c>
      <c r="V63" s="1000"/>
      <c r="W63" s="1000"/>
      <c r="X63" s="1000"/>
      <c r="Y63" s="1000"/>
      <c r="Z63" s="1000"/>
      <c r="AA63" s="999" t="s">
        <v>1655</v>
      </c>
      <c r="AB63" s="999"/>
      <c r="AC63" s="999"/>
      <c r="AD63" s="999"/>
      <c r="AE63" s="999"/>
      <c r="AF63" s="999"/>
    </row>
    <row r="64" spans="1:32" ht="25.35" customHeight="1" thickTop="1" thickBot="1" x14ac:dyDescent="0.25">
      <c r="A64" s="997" t="s">
        <v>1753</v>
      </c>
      <c r="B64" s="997"/>
      <c r="C64" s="997"/>
      <c r="D64" s="997"/>
      <c r="E64" s="997"/>
      <c r="F64" s="997"/>
      <c r="G64" s="997"/>
      <c r="H64" s="997"/>
      <c r="I64" s="997"/>
      <c r="J64" s="997"/>
      <c r="K64" s="998" t="s">
        <v>1754</v>
      </c>
      <c r="L64" s="998"/>
      <c r="M64" s="998"/>
      <c r="N64" s="998"/>
      <c r="O64" s="1000" t="s">
        <v>1655</v>
      </c>
      <c r="P64" s="1000"/>
      <c r="Q64" s="1000"/>
      <c r="R64" s="1000"/>
      <c r="S64" s="1000"/>
      <c r="T64" s="1000"/>
      <c r="U64" s="1000" t="s">
        <v>1655</v>
      </c>
      <c r="V64" s="1000"/>
      <c r="W64" s="1000"/>
      <c r="X64" s="1000"/>
      <c r="Y64" s="1000"/>
      <c r="Z64" s="1000"/>
      <c r="AA64" s="999" t="s">
        <v>1655</v>
      </c>
      <c r="AB64" s="999"/>
      <c r="AC64" s="999"/>
      <c r="AD64" s="999"/>
      <c r="AE64" s="999"/>
      <c r="AF64" s="999"/>
    </row>
    <row r="65" spans="1:32" ht="15.2" customHeight="1" thickTop="1" thickBot="1" x14ac:dyDescent="0.25">
      <c r="A65" s="997" t="s">
        <v>1653</v>
      </c>
      <c r="B65" s="997"/>
      <c r="C65" s="997"/>
      <c r="D65" s="997"/>
      <c r="E65" s="997"/>
      <c r="F65" s="997"/>
      <c r="G65" s="997"/>
      <c r="H65" s="997"/>
      <c r="I65" s="997"/>
      <c r="J65" s="997"/>
      <c r="K65" s="998" t="s">
        <v>1755</v>
      </c>
      <c r="L65" s="998"/>
      <c r="M65" s="998"/>
      <c r="N65" s="998"/>
      <c r="O65" s="1000" t="s">
        <v>1655</v>
      </c>
      <c r="P65" s="1000"/>
      <c r="Q65" s="1000"/>
      <c r="R65" s="1000"/>
      <c r="S65" s="1000"/>
      <c r="T65" s="1000"/>
      <c r="U65" s="1000" t="s">
        <v>1655</v>
      </c>
      <c r="V65" s="1000"/>
      <c r="W65" s="1000"/>
      <c r="X65" s="1000"/>
      <c r="Y65" s="1000"/>
      <c r="Z65" s="1000"/>
      <c r="AA65" s="999" t="s">
        <v>1655</v>
      </c>
      <c r="AB65" s="999"/>
      <c r="AC65" s="999"/>
      <c r="AD65" s="999"/>
      <c r="AE65" s="999"/>
      <c r="AF65" s="999"/>
    </row>
    <row r="66" spans="1:32" ht="25.35" customHeight="1" thickTop="1" thickBot="1" x14ac:dyDescent="0.25">
      <c r="A66" s="997" t="s">
        <v>1656</v>
      </c>
      <c r="B66" s="997"/>
      <c r="C66" s="997"/>
      <c r="D66" s="997"/>
      <c r="E66" s="997"/>
      <c r="F66" s="997"/>
      <c r="G66" s="997"/>
      <c r="H66" s="997"/>
      <c r="I66" s="997"/>
      <c r="J66" s="997"/>
      <c r="K66" s="998" t="s">
        <v>1756</v>
      </c>
      <c r="L66" s="998"/>
      <c r="M66" s="998"/>
      <c r="N66" s="998"/>
      <c r="O66" s="1000" t="s">
        <v>1655</v>
      </c>
      <c r="P66" s="1000"/>
      <c r="Q66" s="1000"/>
      <c r="R66" s="1000"/>
      <c r="S66" s="1000"/>
      <c r="T66" s="1000"/>
      <c r="U66" s="1000" t="s">
        <v>1655</v>
      </c>
      <c r="V66" s="1000"/>
      <c r="W66" s="1000"/>
      <c r="X66" s="1000"/>
      <c r="Y66" s="1000"/>
      <c r="Z66" s="1000"/>
      <c r="AA66" s="999" t="s">
        <v>1655</v>
      </c>
      <c r="AB66" s="999"/>
      <c r="AC66" s="999"/>
      <c r="AD66" s="999"/>
      <c r="AE66" s="999"/>
      <c r="AF66" s="999"/>
    </row>
    <row r="67" spans="1:32" ht="15.2" customHeight="1" thickTop="1" thickBot="1" x14ac:dyDescent="0.25">
      <c r="A67" s="997" t="s">
        <v>1658</v>
      </c>
      <c r="B67" s="997"/>
      <c r="C67" s="997"/>
      <c r="D67" s="997"/>
      <c r="E67" s="997"/>
      <c r="F67" s="997"/>
      <c r="G67" s="997"/>
      <c r="H67" s="997"/>
      <c r="I67" s="997"/>
      <c r="J67" s="997"/>
      <c r="K67" s="998" t="s">
        <v>1757</v>
      </c>
      <c r="L67" s="998"/>
      <c r="M67" s="998"/>
      <c r="N67" s="998"/>
      <c r="O67" s="1000" t="s">
        <v>1655</v>
      </c>
      <c r="P67" s="1000"/>
      <c r="Q67" s="1000"/>
      <c r="R67" s="1000"/>
      <c r="S67" s="1000"/>
      <c r="T67" s="1000"/>
      <c r="U67" s="1000" t="s">
        <v>1655</v>
      </c>
      <c r="V67" s="1000"/>
      <c r="W67" s="1000"/>
      <c r="X67" s="1000"/>
      <c r="Y67" s="1000"/>
      <c r="Z67" s="1000"/>
      <c r="AA67" s="999" t="s">
        <v>1655</v>
      </c>
      <c r="AB67" s="999"/>
      <c r="AC67" s="999"/>
      <c r="AD67" s="999"/>
      <c r="AE67" s="999"/>
      <c r="AF67" s="999"/>
    </row>
    <row r="68" spans="1:32" ht="15.2" customHeight="1" thickTop="1" thickBot="1" x14ac:dyDescent="0.25">
      <c r="A68" s="997" t="s">
        <v>1660</v>
      </c>
      <c r="B68" s="997"/>
      <c r="C68" s="997"/>
      <c r="D68" s="997"/>
      <c r="E68" s="997"/>
      <c r="F68" s="997"/>
      <c r="G68" s="997"/>
      <c r="H68" s="997"/>
      <c r="I68" s="997"/>
      <c r="J68" s="997"/>
      <c r="K68" s="998" t="s">
        <v>1758</v>
      </c>
      <c r="L68" s="998"/>
      <c r="M68" s="998"/>
      <c r="N68" s="998"/>
      <c r="O68" s="1000" t="s">
        <v>1655</v>
      </c>
      <c r="P68" s="1000"/>
      <c r="Q68" s="1000"/>
      <c r="R68" s="1000"/>
      <c r="S68" s="1000"/>
      <c r="T68" s="1000"/>
      <c r="U68" s="1000" t="s">
        <v>1655</v>
      </c>
      <c r="V68" s="1000"/>
      <c r="W68" s="1000"/>
      <c r="X68" s="1000"/>
      <c r="Y68" s="1000"/>
      <c r="Z68" s="1000"/>
      <c r="AA68" s="999" t="s">
        <v>1655</v>
      </c>
      <c r="AB68" s="999"/>
      <c r="AC68" s="999"/>
      <c r="AD68" s="999"/>
      <c r="AE68" s="999"/>
      <c r="AF68" s="999"/>
    </row>
    <row r="69" spans="1:32" ht="25.35" customHeight="1" thickTop="1" thickBot="1" x14ac:dyDescent="0.25">
      <c r="A69" s="997" t="s">
        <v>1759</v>
      </c>
      <c r="B69" s="997"/>
      <c r="C69" s="997"/>
      <c r="D69" s="997"/>
      <c r="E69" s="997"/>
      <c r="F69" s="997"/>
      <c r="G69" s="997"/>
      <c r="H69" s="997"/>
      <c r="I69" s="997"/>
      <c r="J69" s="997"/>
      <c r="K69" s="998" t="s">
        <v>1760</v>
      </c>
      <c r="L69" s="998"/>
      <c r="M69" s="998"/>
      <c r="N69" s="998"/>
      <c r="O69" s="1000" t="s">
        <v>1655</v>
      </c>
      <c r="P69" s="1000"/>
      <c r="Q69" s="1000"/>
      <c r="R69" s="1000"/>
      <c r="S69" s="1000"/>
      <c r="T69" s="1000"/>
      <c r="U69" s="1000" t="s">
        <v>1655</v>
      </c>
      <c r="V69" s="1000"/>
      <c r="W69" s="1000"/>
      <c r="X69" s="1000"/>
      <c r="Y69" s="1000"/>
      <c r="Z69" s="1000"/>
      <c r="AA69" s="999" t="s">
        <v>1655</v>
      </c>
      <c r="AB69" s="999"/>
      <c r="AC69" s="999"/>
      <c r="AD69" s="999"/>
      <c r="AE69" s="999"/>
      <c r="AF69" s="999"/>
    </row>
    <row r="70" spans="1:32" ht="25.35" customHeight="1" thickTop="1" thickBot="1" x14ac:dyDescent="0.25">
      <c r="A70" s="997" t="s">
        <v>1761</v>
      </c>
      <c r="B70" s="997"/>
      <c r="C70" s="997"/>
      <c r="D70" s="997"/>
      <c r="E70" s="997"/>
      <c r="F70" s="997"/>
      <c r="G70" s="997"/>
      <c r="H70" s="997"/>
      <c r="I70" s="997"/>
      <c r="J70" s="997"/>
      <c r="K70" s="998" t="s">
        <v>1762</v>
      </c>
      <c r="L70" s="998"/>
      <c r="M70" s="998"/>
      <c r="N70" s="998"/>
      <c r="O70" s="1000" t="s">
        <v>1655</v>
      </c>
      <c r="P70" s="1000"/>
      <c r="Q70" s="1000"/>
      <c r="R70" s="1000"/>
      <c r="S70" s="1000"/>
      <c r="T70" s="1000"/>
      <c r="U70" s="1000" t="s">
        <v>1655</v>
      </c>
      <c r="V70" s="1000"/>
      <c r="W70" s="1000"/>
      <c r="X70" s="1000"/>
      <c r="Y70" s="1000"/>
      <c r="Z70" s="1000"/>
      <c r="AA70" s="999" t="s">
        <v>1655</v>
      </c>
      <c r="AB70" s="999"/>
      <c r="AC70" s="999"/>
      <c r="AD70" s="999"/>
      <c r="AE70" s="999"/>
      <c r="AF70" s="999"/>
    </row>
    <row r="71" spans="1:32" ht="15.2" customHeight="1" thickTop="1" thickBot="1" x14ac:dyDescent="0.25">
      <c r="A71" s="997" t="s">
        <v>1653</v>
      </c>
      <c r="B71" s="997"/>
      <c r="C71" s="997"/>
      <c r="D71" s="997"/>
      <c r="E71" s="997"/>
      <c r="F71" s="997"/>
      <c r="G71" s="997"/>
      <c r="H71" s="997"/>
      <c r="I71" s="997"/>
      <c r="J71" s="997"/>
      <c r="K71" s="998" t="s">
        <v>1763</v>
      </c>
      <c r="L71" s="998"/>
      <c r="M71" s="998"/>
      <c r="N71" s="998"/>
      <c r="O71" s="1000" t="s">
        <v>1655</v>
      </c>
      <c r="P71" s="1000"/>
      <c r="Q71" s="1000"/>
      <c r="R71" s="1000"/>
      <c r="S71" s="1000"/>
      <c r="T71" s="1000"/>
      <c r="U71" s="1000" t="s">
        <v>1655</v>
      </c>
      <c r="V71" s="1000"/>
      <c r="W71" s="1000"/>
      <c r="X71" s="1000"/>
      <c r="Y71" s="1000"/>
      <c r="Z71" s="1000"/>
      <c r="AA71" s="999" t="s">
        <v>1655</v>
      </c>
      <c r="AB71" s="999"/>
      <c r="AC71" s="999"/>
      <c r="AD71" s="999"/>
      <c r="AE71" s="999"/>
      <c r="AF71" s="999"/>
    </row>
    <row r="72" spans="1:32" ht="25.35" customHeight="1" thickTop="1" thickBot="1" x14ac:dyDescent="0.25">
      <c r="A72" s="997" t="s">
        <v>1656</v>
      </c>
      <c r="B72" s="997"/>
      <c r="C72" s="997"/>
      <c r="D72" s="997"/>
      <c r="E72" s="997"/>
      <c r="F72" s="997"/>
      <c r="G72" s="997"/>
      <c r="H72" s="997"/>
      <c r="I72" s="997"/>
      <c r="J72" s="997"/>
      <c r="K72" s="998" t="s">
        <v>1764</v>
      </c>
      <c r="L72" s="998"/>
      <c r="M72" s="998"/>
      <c r="N72" s="998"/>
      <c r="O72" s="1000" t="s">
        <v>1655</v>
      </c>
      <c r="P72" s="1000"/>
      <c r="Q72" s="1000"/>
      <c r="R72" s="1000"/>
      <c r="S72" s="1000"/>
      <c r="T72" s="1000"/>
      <c r="U72" s="1000" t="s">
        <v>1655</v>
      </c>
      <c r="V72" s="1000"/>
      <c r="W72" s="1000"/>
      <c r="X72" s="1000"/>
      <c r="Y72" s="1000"/>
      <c r="Z72" s="1000"/>
      <c r="AA72" s="999" t="s">
        <v>1655</v>
      </c>
      <c r="AB72" s="999"/>
      <c r="AC72" s="999"/>
      <c r="AD72" s="999"/>
      <c r="AE72" s="999"/>
      <c r="AF72" s="999"/>
    </row>
    <row r="73" spans="1:32" ht="15.2" customHeight="1" thickTop="1" thickBot="1" x14ac:dyDescent="0.25">
      <c r="A73" s="997" t="s">
        <v>1658</v>
      </c>
      <c r="B73" s="997"/>
      <c r="C73" s="997"/>
      <c r="D73" s="997"/>
      <c r="E73" s="997"/>
      <c r="F73" s="997"/>
      <c r="G73" s="997"/>
      <c r="H73" s="997"/>
      <c r="I73" s="997"/>
      <c r="J73" s="997"/>
      <c r="K73" s="998" t="s">
        <v>1765</v>
      </c>
      <c r="L73" s="998"/>
      <c r="M73" s="998"/>
      <c r="N73" s="998"/>
      <c r="O73" s="1000" t="s">
        <v>1655</v>
      </c>
      <c r="P73" s="1000"/>
      <c r="Q73" s="1000"/>
      <c r="R73" s="1000"/>
      <c r="S73" s="1000"/>
      <c r="T73" s="1000"/>
      <c r="U73" s="1000" t="s">
        <v>1655</v>
      </c>
      <c r="V73" s="1000"/>
      <c r="W73" s="1000"/>
      <c r="X73" s="1000"/>
      <c r="Y73" s="1000"/>
      <c r="Z73" s="1000"/>
      <c r="AA73" s="999" t="s">
        <v>1655</v>
      </c>
      <c r="AB73" s="999"/>
      <c r="AC73" s="999"/>
      <c r="AD73" s="999"/>
      <c r="AE73" s="999"/>
      <c r="AF73" s="999"/>
    </row>
    <row r="74" spans="1:32" ht="15.2" customHeight="1" thickTop="1" thickBot="1" x14ac:dyDescent="0.25">
      <c r="A74" s="997" t="s">
        <v>1660</v>
      </c>
      <c r="B74" s="997"/>
      <c r="C74" s="997"/>
      <c r="D74" s="997"/>
      <c r="E74" s="997"/>
      <c r="F74" s="997"/>
      <c r="G74" s="997"/>
      <c r="H74" s="997"/>
      <c r="I74" s="997"/>
      <c r="J74" s="997"/>
      <c r="K74" s="998" t="s">
        <v>1766</v>
      </c>
      <c r="L74" s="998"/>
      <c r="M74" s="998"/>
      <c r="N74" s="998"/>
      <c r="O74" s="1000" t="s">
        <v>1655</v>
      </c>
      <c r="P74" s="1000"/>
      <c r="Q74" s="1000"/>
      <c r="R74" s="1000"/>
      <c r="S74" s="1000"/>
      <c r="T74" s="1000"/>
      <c r="U74" s="1000" t="s">
        <v>1655</v>
      </c>
      <c r="V74" s="1000"/>
      <c r="W74" s="1000"/>
      <c r="X74" s="1000"/>
      <c r="Y74" s="1000"/>
      <c r="Z74" s="1000"/>
      <c r="AA74" s="999" t="s">
        <v>1655</v>
      </c>
      <c r="AB74" s="999"/>
      <c r="AC74" s="999"/>
      <c r="AD74" s="999"/>
      <c r="AE74" s="999"/>
      <c r="AF74" s="999"/>
    </row>
    <row r="75" spans="1:32" ht="25.35" customHeight="1" thickTop="1" thickBot="1" x14ac:dyDescent="0.25">
      <c r="A75" s="997" t="s">
        <v>1767</v>
      </c>
      <c r="B75" s="997"/>
      <c r="C75" s="997"/>
      <c r="D75" s="997"/>
      <c r="E75" s="997"/>
      <c r="F75" s="997"/>
      <c r="G75" s="997"/>
      <c r="H75" s="997"/>
      <c r="I75" s="997"/>
      <c r="J75" s="997"/>
      <c r="K75" s="998" t="s">
        <v>1768</v>
      </c>
      <c r="L75" s="998"/>
      <c r="M75" s="998"/>
      <c r="N75" s="998"/>
      <c r="O75" s="1000" t="s">
        <v>1655</v>
      </c>
      <c r="P75" s="1000"/>
      <c r="Q75" s="1000"/>
      <c r="R75" s="1000"/>
      <c r="S75" s="1000"/>
      <c r="T75" s="1000"/>
      <c r="U75" s="1000" t="s">
        <v>1655</v>
      </c>
      <c r="V75" s="1000"/>
      <c r="W75" s="1000"/>
      <c r="X75" s="1000"/>
      <c r="Y75" s="1000"/>
      <c r="Z75" s="1000"/>
      <c r="AA75" s="999" t="s">
        <v>1655</v>
      </c>
      <c r="AB75" s="999"/>
      <c r="AC75" s="999"/>
      <c r="AD75" s="999"/>
      <c r="AE75" s="999"/>
      <c r="AF75" s="999"/>
    </row>
    <row r="76" spans="1:32" ht="15.2" customHeight="1" thickTop="1" thickBot="1" x14ac:dyDescent="0.25">
      <c r="A76" s="997" t="s">
        <v>1653</v>
      </c>
      <c r="B76" s="997"/>
      <c r="C76" s="997"/>
      <c r="D76" s="997"/>
      <c r="E76" s="997"/>
      <c r="F76" s="997"/>
      <c r="G76" s="997"/>
      <c r="H76" s="997"/>
      <c r="I76" s="997"/>
      <c r="J76" s="997"/>
      <c r="K76" s="998" t="s">
        <v>1769</v>
      </c>
      <c r="L76" s="998"/>
      <c r="M76" s="998"/>
      <c r="N76" s="998"/>
      <c r="O76" s="1000" t="s">
        <v>1655</v>
      </c>
      <c r="P76" s="1000"/>
      <c r="Q76" s="1000"/>
      <c r="R76" s="1000"/>
      <c r="S76" s="1000"/>
      <c r="T76" s="1000"/>
      <c r="U76" s="1000" t="s">
        <v>1655</v>
      </c>
      <c r="V76" s="1000"/>
      <c r="W76" s="1000"/>
      <c r="X76" s="1000"/>
      <c r="Y76" s="1000"/>
      <c r="Z76" s="1000"/>
      <c r="AA76" s="999" t="s">
        <v>1655</v>
      </c>
      <c r="AB76" s="999"/>
      <c r="AC76" s="999"/>
      <c r="AD76" s="999"/>
      <c r="AE76" s="999"/>
      <c r="AF76" s="999"/>
    </row>
    <row r="77" spans="1:32" ht="25.35" customHeight="1" thickTop="1" thickBot="1" x14ac:dyDescent="0.25">
      <c r="A77" s="997" t="s">
        <v>1656</v>
      </c>
      <c r="B77" s="997"/>
      <c r="C77" s="997"/>
      <c r="D77" s="997"/>
      <c r="E77" s="997"/>
      <c r="F77" s="997"/>
      <c r="G77" s="997"/>
      <c r="H77" s="997"/>
      <c r="I77" s="997"/>
      <c r="J77" s="997"/>
      <c r="K77" s="998" t="s">
        <v>1770</v>
      </c>
      <c r="L77" s="998"/>
      <c r="M77" s="998"/>
      <c r="N77" s="998"/>
      <c r="O77" s="1000" t="s">
        <v>1655</v>
      </c>
      <c r="P77" s="1000"/>
      <c r="Q77" s="1000"/>
      <c r="R77" s="1000"/>
      <c r="S77" s="1000"/>
      <c r="T77" s="1000"/>
      <c r="U77" s="1000" t="s">
        <v>1655</v>
      </c>
      <c r="V77" s="1000"/>
      <c r="W77" s="1000"/>
      <c r="X77" s="1000"/>
      <c r="Y77" s="1000"/>
      <c r="Z77" s="1000"/>
      <c r="AA77" s="999" t="s">
        <v>1655</v>
      </c>
      <c r="AB77" s="999"/>
      <c r="AC77" s="999"/>
      <c r="AD77" s="999"/>
      <c r="AE77" s="999"/>
      <c r="AF77" s="999"/>
    </row>
    <row r="78" spans="1:32" ht="15.2" customHeight="1" thickTop="1" thickBot="1" x14ac:dyDescent="0.25">
      <c r="A78" s="997" t="s">
        <v>1658</v>
      </c>
      <c r="B78" s="997"/>
      <c r="C78" s="997"/>
      <c r="D78" s="997"/>
      <c r="E78" s="997"/>
      <c r="F78" s="997"/>
      <c r="G78" s="997"/>
      <c r="H78" s="997"/>
      <c r="I78" s="997"/>
      <c r="J78" s="997"/>
      <c r="K78" s="998" t="s">
        <v>1771</v>
      </c>
      <c r="L78" s="998"/>
      <c r="M78" s="998"/>
      <c r="N78" s="998"/>
      <c r="O78" s="1000" t="s">
        <v>1655</v>
      </c>
      <c r="P78" s="1000"/>
      <c r="Q78" s="1000"/>
      <c r="R78" s="1000"/>
      <c r="S78" s="1000"/>
      <c r="T78" s="1000"/>
      <c r="U78" s="1000" t="s">
        <v>1655</v>
      </c>
      <c r="V78" s="1000"/>
      <c r="W78" s="1000"/>
      <c r="X78" s="1000"/>
      <c r="Y78" s="1000"/>
      <c r="Z78" s="1000"/>
      <c r="AA78" s="999" t="s">
        <v>1655</v>
      </c>
      <c r="AB78" s="999"/>
      <c r="AC78" s="999"/>
      <c r="AD78" s="999"/>
      <c r="AE78" s="999"/>
      <c r="AF78" s="999"/>
    </row>
    <row r="79" spans="1:32" ht="15.2" customHeight="1" thickTop="1" thickBot="1" x14ac:dyDescent="0.25">
      <c r="A79" s="997" t="s">
        <v>1660</v>
      </c>
      <c r="B79" s="997"/>
      <c r="C79" s="997"/>
      <c r="D79" s="997"/>
      <c r="E79" s="997"/>
      <c r="F79" s="997"/>
      <c r="G79" s="997"/>
      <c r="H79" s="997"/>
      <c r="I79" s="997"/>
      <c r="J79" s="997"/>
      <c r="K79" s="998" t="s">
        <v>1772</v>
      </c>
      <c r="L79" s="998"/>
      <c r="M79" s="998"/>
      <c r="N79" s="998"/>
      <c r="O79" s="1000" t="s">
        <v>1655</v>
      </c>
      <c r="P79" s="1000"/>
      <c r="Q79" s="1000"/>
      <c r="R79" s="1000"/>
      <c r="S79" s="1000"/>
      <c r="T79" s="1000"/>
      <c r="U79" s="1000" t="s">
        <v>1655</v>
      </c>
      <c r="V79" s="1000"/>
      <c r="W79" s="1000"/>
      <c r="X79" s="1000"/>
      <c r="Y79" s="1000"/>
      <c r="Z79" s="1000"/>
      <c r="AA79" s="999" t="s">
        <v>1655</v>
      </c>
      <c r="AB79" s="999"/>
      <c r="AC79" s="999"/>
      <c r="AD79" s="999"/>
      <c r="AE79" s="999"/>
      <c r="AF79" s="999"/>
    </row>
    <row r="80" spans="1:32" ht="25.35" customHeight="1" thickTop="1" thickBot="1" x14ac:dyDescent="0.25">
      <c r="A80" s="997" t="s">
        <v>1773</v>
      </c>
      <c r="B80" s="997"/>
      <c r="C80" s="997"/>
      <c r="D80" s="997"/>
      <c r="E80" s="997"/>
      <c r="F80" s="997"/>
      <c r="G80" s="997"/>
      <c r="H80" s="997"/>
      <c r="I80" s="997"/>
      <c r="J80" s="997"/>
      <c r="K80" s="998" t="s">
        <v>68</v>
      </c>
      <c r="L80" s="998"/>
      <c r="M80" s="998"/>
      <c r="N80" s="998"/>
      <c r="O80" s="1000" t="s">
        <v>1774</v>
      </c>
      <c r="P80" s="1000"/>
      <c r="Q80" s="1000"/>
      <c r="R80" s="1000"/>
      <c r="S80" s="1000"/>
      <c r="T80" s="1000"/>
      <c r="U80" s="1000" t="s">
        <v>1775</v>
      </c>
      <c r="V80" s="1000"/>
      <c r="W80" s="1000"/>
      <c r="X80" s="1000"/>
      <c r="Y80" s="1000"/>
      <c r="Z80" s="1000"/>
      <c r="AA80" s="999" t="s">
        <v>1776</v>
      </c>
      <c r="AB80" s="999"/>
      <c r="AC80" s="999"/>
      <c r="AD80" s="999"/>
      <c r="AE80" s="999"/>
      <c r="AF80" s="999"/>
    </row>
    <row r="81" spans="1:32" ht="15.2" customHeight="1" thickTop="1" thickBot="1" x14ac:dyDescent="0.25">
      <c r="A81" s="997" t="s">
        <v>1777</v>
      </c>
      <c r="B81" s="997"/>
      <c r="C81" s="997"/>
      <c r="D81" s="997"/>
      <c r="E81" s="997"/>
      <c r="F81" s="997"/>
      <c r="G81" s="997"/>
      <c r="H81" s="997"/>
      <c r="I81" s="997"/>
      <c r="J81" s="997"/>
      <c r="K81" s="998" t="s">
        <v>1778</v>
      </c>
      <c r="L81" s="998"/>
      <c r="M81" s="998"/>
      <c r="N81" s="998"/>
      <c r="O81" s="1000" t="s">
        <v>1779</v>
      </c>
      <c r="P81" s="1000"/>
      <c r="Q81" s="1000"/>
      <c r="R81" s="1000"/>
      <c r="S81" s="1000"/>
      <c r="T81" s="1000"/>
      <c r="U81" s="1000" t="s">
        <v>1775</v>
      </c>
      <c r="V81" s="1000"/>
      <c r="W81" s="1000"/>
      <c r="X81" s="1000"/>
      <c r="Y81" s="1000"/>
      <c r="Z81" s="1000"/>
      <c r="AA81" s="999" t="s">
        <v>1780</v>
      </c>
      <c r="AB81" s="999"/>
      <c r="AC81" s="999"/>
      <c r="AD81" s="999"/>
      <c r="AE81" s="999"/>
      <c r="AF81" s="999"/>
    </row>
    <row r="82" spans="1:32" ht="15.2" customHeight="1" thickTop="1" thickBot="1" x14ac:dyDescent="0.25">
      <c r="A82" s="997" t="s">
        <v>1781</v>
      </c>
      <c r="B82" s="997"/>
      <c r="C82" s="997"/>
      <c r="D82" s="997"/>
      <c r="E82" s="997"/>
      <c r="F82" s="997"/>
      <c r="G82" s="997"/>
      <c r="H82" s="997"/>
      <c r="I82" s="997"/>
      <c r="J82" s="997"/>
      <c r="K82" s="998" t="s">
        <v>1782</v>
      </c>
      <c r="L82" s="998"/>
      <c r="M82" s="998"/>
      <c r="N82" s="998"/>
      <c r="O82" s="1000" t="s">
        <v>1783</v>
      </c>
      <c r="P82" s="1000"/>
      <c r="Q82" s="1000"/>
      <c r="R82" s="1000"/>
      <c r="S82" s="1000"/>
      <c r="T82" s="1000"/>
      <c r="U82" s="1000" t="s">
        <v>1655</v>
      </c>
      <c r="V82" s="1000"/>
      <c r="W82" s="1000"/>
      <c r="X82" s="1000"/>
      <c r="Y82" s="1000"/>
      <c r="Z82" s="1000"/>
      <c r="AA82" s="999" t="s">
        <v>1655</v>
      </c>
      <c r="AB82" s="999"/>
      <c r="AC82" s="999"/>
      <c r="AD82" s="999"/>
      <c r="AE82" s="999"/>
      <c r="AF82" s="999"/>
    </row>
    <row r="83" spans="1:32" ht="15.2" customHeight="1" thickTop="1" thickBot="1" x14ac:dyDescent="0.25">
      <c r="A83" s="997" t="s">
        <v>1784</v>
      </c>
      <c r="B83" s="997"/>
      <c r="C83" s="997"/>
      <c r="D83" s="997"/>
      <c r="E83" s="997"/>
      <c r="F83" s="997"/>
      <c r="G83" s="997"/>
      <c r="H83" s="997"/>
      <c r="I83" s="997"/>
      <c r="J83" s="997"/>
      <c r="K83" s="998" t="s">
        <v>69</v>
      </c>
      <c r="L83" s="998"/>
      <c r="M83" s="998"/>
      <c r="N83" s="998"/>
      <c r="O83" s="1000" t="s">
        <v>1785</v>
      </c>
      <c r="P83" s="1000"/>
      <c r="Q83" s="1000"/>
      <c r="R83" s="1000"/>
      <c r="S83" s="1000"/>
      <c r="T83" s="1000"/>
      <c r="U83" s="1000" t="s">
        <v>1786</v>
      </c>
      <c r="V83" s="1000"/>
      <c r="W83" s="1000"/>
      <c r="X83" s="1000"/>
      <c r="Y83" s="1000"/>
      <c r="Z83" s="1000"/>
      <c r="AA83" s="999" t="s">
        <v>1787</v>
      </c>
      <c r="AB83" s="999"/>
      <c r="AC83" s="999"/>
      <c r="AD83" s="999"/>
      <c r="AE83" s="999"/>
      <c r="AF83" s="999"/>
    </row>
    <row r="84" spans="1:32" ht="15.2" customHeight="1" thickTop="1" thickBot="1" x14ac:dyDescent="0.25">
      <c r="A84" s="997" t="s">
        <v>1788</v>
      </c>
      <c r="B84" s="997"/>
      <c r="C84" s="997"/>
      <c r="D84" s="997"/>
      <c r="E84" s="997"/>
      <c r="F84" s="997"/>
      <c r="G84" s="997"/>
      <c r="H84" s="997"/>
      <c r="I84" s="997"/>
      <c r="J84" s="997"/>
      <c r="K84" s="998" t="s">
        <v>1789</v>
      </c>
      <c r="L84" s="998"/>
      <c r="M84" s="998"/>
      <c r="N84" s="998"/>
      <c r="O84" s="1000" t="s">
        <v>1655</v>
      </c>
      <c r="P84" s="1000"/>
      <c r="Q84" s="1000"/>
      <c r="R84" s="1000"/>
      <c r="S84" s="1000"/>
      <c r="T84" s="1000"/>
      <c r="U84" s="1000" t="s">
        <v>1655</v>
      </c>
      <c r="V84" s="1000"/>
      <c r="W84" s="1000"/>
      <c r="X84" s="1000"/>
      <c r="Y84" s="1000"/>
      <c r="Z84" s="1000"/>
      <c r="AA84" s="999" t="s">
        <v>1655</v>
      </c>
      <c r="AB84" s="999"/>
      <c r="AC84" s="999"/>
      <c r="AD84" s="999"/>
      <c r="AE84" s="999"/>
      <c r="AF84" s="999"/>
    </row>
    <row r="85" spans="1:32" ht="15.2" customHeight="1" thickTop="1" thickBot="1" x14ac:dyDescent="0.25">
      <c r="A85" s="997" t="s">
        <v>1790</v>
      </c>
      <c r="B85" s="997"/>
      <c r="C85" s="997"/>
      <c r="D85" s="997"/>
      <c r="E85" s="997"/>
      <c r="F85" s="997"/>
      <c r="G85" s="997"/>
      <c r="H85" s="997"/>
      <c r="I85" s="997"/>
      <c r="J85" s="997"/>
      <c r="K85" s="998" t="s">
        <v>1791</v>
      </c>
      <c r="L85" s="998"/>
      <c r="M85" s="998"/>
      <c r="N85" s="998"/>
      <c r="O85" s="1000" t="s">
        <v>1792</v>
      </c>
      <c r="P85" s="1000"/>
      <c r="Q85" s="1000"/>
      <c r="R85" s="1000"/>
      <c r="S85" s="1000"/>
      <c r="T85" s="1000"/>
      <c r="U85" s="1000" t="s">
        <v>1793</v>
      </c>
      <c r="V85" s="1000"/>
      <c r="W85" s="1000"/>
      <c r="X85" s="1000"/>
      <c r="Y85" s="1000"/>
      <c r="Z85" s="1000"/>
      <c r="AA85" s="999" t="s">
        <v>1794</v>
      </c>
      <c r="AB85" s="999"/>
      <c r="AC85" s="999"/>
      <c r="AD85" s="999"/>
      <c r="AE85" s="999"/>
      <c r="AF85" s="999"/>
    </row>
    <row r="86" spans="1:32" ht="15.2" customHeight="1" thickTop="1" thickBot="1" x14ac:dyDescent="0.25">
      <c r="A86" s="997" t="s">
        <v>1795</v>
      </c>
      <c r="B86" s="997"/>
      <c r="C86" s="997"/>
      <c r="D86" s="997"/>
      <c r="E86" s="997"/>
      <c r="F86" s="997"/>
      <c r="G86" s="997"/>
      <c r="H86" s="997"/>
      <c r="I86" s="997"/>
      <c r="J86" s="997"/>
      <c r="K86" s="998" t="s">
        <v>1796</v>
      </c>
      <c r="L86" s="998"/>
      <c r="M86" s="998"/>
      <c r="N86" s="998"/>
      <c r="O86" s="1000" t="s">
        <v>1797</v>
      </c>
      <c r="P86" s="1000"/>
      <c r="Q86" s="1000"/>
      <c r="R86" s="1000"/>
      <c r="S86" s="1000"/>
      <c r="T86" s="1000"/>
      <c r="U86" s="1000" t="s">
        <v>1798</v>
      </c>
      <c r="V86" s="1000"/>
      <c r="W86" s="1000"/>
      <c r="X86" s="1000"/>
      <c r="Y86" s="1000"/>
      <c r="Z86" s="1000"/>
      <c r="AA86" s="999" t="s">
        <v>1799</v>
      </c>
      <c r="AB86" s="999"/>
      <c r="AC86" s="999"/>
      <c r="AD86" s="999"/>
      <c r="AE86" s="999"/>
      <c r="AF86" s="999"/>
    </row>
    <row r="87" spans="1:32" ht="15.2" customHeight="1" thickTop="1" thickBot="1" x14ac:dyDescent="0.25">
      <c r="A87" s="997" t="s">
        <v>1800</v>
      </c>
      <c r="B87" s="997"/>
      <c r="C87" s="997"/>
      <c r="D87" s="997"/>
      <c r="E87" s="997"/>
      <c r="F87" s="997"/>
      <c r="G87" s="997"/>
      <c r="H87" s="997"/>
      <c r="I87" s="997"/>
      <c r="J87" s="997"/>
      <c r="K87" s="998" t="s">
        <v>1801</v>
      </c>
      <c r="L87" s="998"/>
      <c r="M87" s="998"/>
      <c r="N87" s="998"/>
      <c r="O87" s="1000" t="s">
        <v>1655</v>
      </c>
      <c r="P87" s="1000"/>
      <c r="Q87" s="1000"/>
      <c r="R87" s="1000"/>
      <c r="S87" s="1000"/>
      <c r="T87" s="1000"/>
      <c r="U87" s="1000" t="s">
        <v>1655</v>
      </c>
      <c r="V87" s="1000"/>
      <c r="W87" s="1000"/>
      <c r="X87" s="1000"/>
      <c r="Y87" s="1000"/>
      <c r="Z87" s="1000"/>
      <c r="AA87" s="999" t="s">
        <v>1655</v>
      </c>
      <c r="AB87" s="999"/>
      <c r="AC87" s="999"/>
      <c r="AD87" s="999"/>
      <c r="AE87" s="999"/>
      <c r="AF87" s="999"/>
    </row>
    <row r="88" spans="1:32" ht="15.2" customHeight="1" thickTop="1" thickBot="1" x14ac:dyDescent="0.25">
      <c r="A88" s="997" t="s">
        <v>1802</v>
      </c>
      <c r="B88" s="997"/>
      <c r="C88" s="997"/>
      <c r="D88" s="997"/>
      <c r="E88" s="997"/>
      <c r="F88" s="997"/>
      <c r="G88" s="997"/>
      <c r="H88" s="997"/>
      <c r="I88" s="997"/>
      <c r="J88" s="997"/>
      <c r="K88" s="998" t="s">
        <v>318</v>
      </c>
      <c r="L88" s="998"/>
      <c r="M88" s="998"/>
      <c r="N88" s="998"/>
      <c r="O88" s="1000" t="s">
        <v>1803</v>
      </c>
      <c r="P88" s="1000"/>
      <c r="Q88" s="1000"/>
      <c r="R88" s="1000"/>
      <c r="S88" s="1000"/>
      <c r="T88" s="1000"/>
      <c r="U88" s="1000" t="s">
        <v>1804</v>
      </c>
      <c r="V88" s="1000"/>
      <c r="W88" s="1000"/>
      <c r="X88" s="1000"/>
      <c r="Y88" s="1000"/>
      <c r="Z88" s="1000"/>
      <c r="AA88" s="999" t="s">
        <v>1805</v>
      </c>
      <c r="AB88" s="999"/>
      <c r="AC88" s="999"/>
      <c r="AD88" s="999"/>
      <c r="AE88" s="999"/>
      <c r="AF88" s="999"/>
    </row>
    <row r="89" spans="1:32" ht="15.2" customHeight="1" thickTop="1" thickBot="1" x14ac:dyDescent="0.25">
      <c r="A89" s="997" t="s">
        <v>1806</v>
      </c>
      <c r="B89" s="997"/>
      <c r="C89" s="997"/>
      <c r="D89" s="997"/>
      <c r="E89" s="997"/>
      <c r="F89" s="997"/>
      <c r="G89" s="997"/>
      <c r="H89" s="997"/>
      <c r="I89" s="997"/>
      <c r="J89" s="997"/>
      <c r="K89" s="998" t="s">
        <v>1807</v>
      </c>
      <c r="L89" s="998"/>
      <c r="M89" s="998"/>
      <c r="N89" s="998"/>
      <c r="O89" s="1000" t="s">
        <v>1808</v>
      </c>
      <c r="P89" s="1000"/>
      <c r="Q89" s="1000"/>
      <c r="R89" s="1000"/>
      <c r="S89" s="1000"/>
      <c r="T89" s="1000"/>
      <c r="U89" s="1000" t="s">
        <v>1809</v>
      </c>
      <c r="V89" s="1000"/>
      <c r="W89" s="1000"/>
      <c r="X89" s="1000"/>
      <c r="Y89" s="1000"/>
      <c r="Z89" s="1000"/>
      <c r="AA89" s="999" t="s">
        <v>1810</v>
      </c>
      <c r="AB89" s="999"/>
      <c r="AC89" s="999"/>
      <c r="AD89" s="999"/>
      <c r="AE89" s="999"/>
      <c r="AF89" s="999"/>
    </row>
    <row r="90" spans="1:32" ht="25.35" customHeight="1" thickTop="1" thickBot="1" x14ac:dyDescent="0.25">
      <c r="A90" s="997" t="s">
        <v>1811</v>
      </c>
      <c r="B90" s="997"/>
      <c r="C90" s="997"/>
      <c r="D90" s="997"/>
      <c r="E90" s="997"/>
      <c r="F90" s="997"/>
      <c r="G90" s="997"/>
      <c r="H90" s="997"/>
      <c r="I90" s="997"/>
      <c r="J90" s="997"/>
      <c r="K90" s="998" t="s">
        <v>1812</v>
      </c>
      <c r="L90" s="998"/>
      <c r="M90" s="998"/>
      <c r="N90" s="998"/>
      <c r="O90" s="1000" t="s">
        <v>1813</v>
      </c>
      <c r="P90" s="1000"/>
      <c r="Q90" s="1000"/>
      <c r="R90" s="1000"/>
      <c r="S90" s="1000"/>
      <c r="T90" s="1000"/>
      <c r="U90" s="1000" t="s">
        <v>1814</v>
      </c>
      <c r="V90" s="1000"/>
      <c r="W90" s="1000"/>
      <c r="X90" s="1000"/>
      <c r="Y90" s="1000"/>
      <c r="Z90" s="1000"/>
      <c r="AA90" s="999" t="s">
        <v>1815</v>
      </c>
      <c r="AB90" s="999"/>
      <c r="AC90" s="999"/>
      <c r="AD90" s="999"/>
      <c r="AE90" s="999"/>
      <c r="AF90" s="999"/>
    </row>
    <row r="91" spans="1:32" ht="15.2" customHeight="1" thickTop="1" thickBot="1" x14ac:dyDescent="0.25">
      <c r="A91" s="997" t="s">
        <v>1816</v>
      </c>
      <c r="B91" s="997"/>
      <c r="C91" s="997"/>
      <c r="D91" s="997"/>
      <c r="E91" s="997"/>
      <c r="F91" s="997"/>
      <c r="G91" s="997"/>
      <c r="H91" s="997"/>
      <c r="I91" s="997"/>
      <c r="J91" s="997"/>
      <c r="K91" s="998" t="s">
        <v>1817</v>
      </c>
      <c r="L91" s="998"/>
      <c r="M91" s="998"/>
      <c r="N91" s="998"/>
      <c r="O91" s="1000" t="s">
        <v>1818</v>
      </c>
      <c r="P91" s="1000"/>
      <c r="Q91" s="1000"/>
      <c r="R91" s="1000"/>
      <c r="S91" s="1000"/>
      <c r="T91" s="1000"/>
      <c r="U91" s="1000" t="s">
        <v>1819</v>
      </c>
      <c r="V91" s="1000"/>
      <c r="W91" s="1000"/>
      <c r="X91" s="1000"/>
      <c r="Y91" s="1000"/>
      <c r="Z91" s="1000"/>
      <c r="AA91" s="999" t="s">
        <v>1820</v>
      </c>
      <c r="AB91" s="999"/>
      <c r="AC91" s="999"/>
      <c r="AD91" s="999"/>
      <c r="AE91" s="999"/>
      <c r="AF91" s="999"/>
    </row>
    <row r="92" spans="1:32" ht="25.35" customHeight="1" thickTop="1" thickBot="1" x14ac:dyDescent="0.25">
      <c r="A92" s="997" t="s">
        <v>1821</v>
      </c>
      <c r="B92" s="997"/>
      <c r="C92" s="997"/>
      <c r="D92" s="997"/>
      <c r="E92" s="997"/>
      <c r="F92" s="997"/>
      <c r="G92" s="997"/>
      <c r="H92" s="997"/>
      <c r="I92" s="997"/>
      <c r="J92" s="997"/>
      <c r="K92" s="998" t="s">
        <v>1822</v>
      </c>
      <c r="L92" s="998"/>
      <c r="M92" s="998"/>
      <c r="N92" s="998"/>
      <c r="O92" s="1000" t="s">
        <v>1823</v>
      </c>
      <c r="P92" s="1000"/>
      <c r="Q92" s="1000"/>
      <c r="R92" s="1000"/>
      <c r="S92" s="1000"/>
      <c r="T92" s="1000"/>
      <c r="U92" s="1000" t="s">
        <v>1824</v>
      </c>
      <c r="V92" s="1000"/>
      <c r="W92" s="1000"/>
      <c r="X92" s="1000"/>
      <c r="Y92" s="1000"/>
      <c r="Z92" s="1000"/>
      <c r="AA92" s="999" t="s">
        <v>1825</v>
      </c>
      <c r="AB92" s="999"/>
      <c r="AC92" s="999"/>
      <c r="AD92" s="999"/>
      <c r="AE92" s="999"/>
      <c r="AF92" s="999"/>
    </row>
    <row r="93" spans="1:32" ht="15.2" customHeight="1" thickTop="1" thickBot="1" x14ac:dyDescent="0.25">
      <c r="A93" s="997" t="s">
        <v>1826</v>
      </c>
      <c r="B93" s="997"/>
      <c r="C93" s="997"/>
      <c r="D93" s="997"/>
      <c r="E93" s="997"/>
      <c r="F93" s="997"/>
      <c r="G93" s="997"/>
      <c r="H93" s="997"/>
      <c r="I93" s="997"/>
      <c r="J93" s="997"/>
      <c r="K93" s="998" t="s">
        <v>1827</v>
      </c>
      <c r="L93" s="998"/>
      <c r="M93" s="998"/>
      <c r="N93" s="998"/>
      <c r="O93" s="1000" t="s">
        <v>1828</v>
      </c>
      <c r="P93" s="1000"/>
      <c r="Q93" s="1000"/>
      <c r="R93" s="1000"/>
      <c r="S93" s="1000"/>
      <c r="T93" s="1000"/>
      <c r="U93" s="1000" t="s">
        <v>1829</v>
      </c>
      <c r="V93" s="1000"/>
      <c r="W93" s="1000"/>
      <c r="X93" s="1000"/>
      <c r="Y93" s="1000"/>
      <c r="Z93" s="1000"/>
      <c r="AA93" s="999" t="s">
        <v>1830</v>
      </c>
      <c r="AB93" s="999"/>
      <c r="AC93" s="999"/>
      <c r="AD93" s="999"/>
      <c r="AE93" s="999"/>
      <c r="AF93" s="999"/>
    </row>
    <row r="94" spans="1:32" ht="15.2" customHeight="1" thickTop="1" thickBot="1" x14ac:dyDescent="0.25">
      <c r="A94" s="997" t="s">
        <v>1831</v>
      </c>
      <c r="B94" s="997"/>
      <c r="C94" s="997"/>
      <c r="D94" s="997"/>
      <c r="E94" s="997"/>
      <c r="F94" s="997"/>
      <c r="G94" s="997"/>
      <c r="H94" s="997"/>
      <c r="I94" s="997"/>
      <c r="J94" s="997"/>
      <c r="K94" s="998" t="s">
        <v>1832</v>
      </c>
      <c r="L94" s="998"/>
      <c r="M94" s="998"/>
      <c r="N94" s="998"/>
      <c r="O94" s="1000">
        <v>5576378811</v>
      </c>
      <c r="P94" s="1000"/>
      <c r="Q94" s="1000"/>
      <c r="R94" s="1000"/>
      <c r="S94" s="1000"/>
      <c r="T94" s="1000"/>
      <c r="U94" s="1000">
        <v>6416386924</v>
      </c>
      <c r="V94" s="1000"/>
      <c r="W94" s="1000"/>
      <c r="X94" s="1000"/>
      <c r="Y94" s="1000"/>
      <c r="Z94" s="1000"/>
      <c r="AA94" s="999" t="s">
        <v>1833</v>
      </c>
      <c r="AB94" s="999"/>
      <c r="AC94" s="999"/>
      <c r="AD94" s="999"/>
      <c r="AE94" s="999"/>
      <c r="AF94" s="999"/>
    </row>
    <row r="95" spans="1:32" ht="15.2" customHeight="1" thickTop="1" thickBot="1" x14ac:dyDescent="0.25">
      <c r="A95" s="997" t="s">
        <v>502</v>
      </c>
      <c r="B95" s="997"/>
      <c r="C95" s="997"/>
      <c r="D95" s="997"/>
      <c r="E95" s="997"/>
      <c r="F95" s="997"/>
      <c r="G95" s="997"/>
      <c r="H95" s="997"/>
      <c r="I95" s="997"/>
      <c r="J95" s="997"/>
      <c r="K95" s="998" t="s">
        <v>502</v>
      </c>
      <c r="L95" s="998"/>
      <c r="M95" s="998"/>
      <c r="N95" s="998"/>
      <c r="O95" s="1000" t="s">
        <v>502</v>
      </c>
      <c r="P95" s="1000"/>
      <c r="Q95" s="1000"/>
      <c r="R95" s="1000"/>
      <c r="S95" s="1000"/>
      <c r="T95" s="1000"/>
      <c r="U95" s="1000" t="s">
        <v>502</v>
      </c>
      <c r="V95" s="1000"/>
      <c r="W95" s="1000"/>
      <c r="X95" s="1000"/>
      <c r="Y95" s="1000"/>
      <c r="Z95" s="1000"/>
      <c r="AA95" s="999" t="s">
        <v>502</v>
      </c>
      <c r="AB95" s="999"/>
      <c r="AC95" s="999"/>
      <c r="AD95" s="999"/>
      <c r="AE95" s="999"/>
      <c r="AF95" s="999"/>
    </row>
    <row r="96" spans="1:32" ht="15.2" customHeight="1" thickTop="1" thickBot="1" x14ac:dyDescent="0.25">
      <c r="A96" s="997" t="s">
        <v>938</v>
      </c>
      <c r="B96" s="997"/>
      <c r="C96" s="997"/>
      <c r="D96" s="997"/>
      <c r="E96" s="997"/>
      <c r="F96" s="997"/>
      <c r="G96" s="997"/>
      <c r="H96" s="997"/>
      <c r="I96" s="997"/>
      <c r="J96" s="997"/>
      <c r="K96" s="998" t="s">
        <v>502</v>
      </c>
      <c r="L96" s="998"/>
      <c r="M96" s="998"/>
      <c r="N96" s="998"/>
      <c r="O96" s="1000" t="s">
        <v>502</v>
      </c>
      <c r="P96" s="1000"/>
      <c r="Q96" s="1000"/>
      <c r="R96" s="1000"/>
      <c r="S96" s="1000"/>
      <c r="T96" s="1000"/>
      <c r="U96" s="1000" t="s">
        <v>502</v>
      </c>
      <c r="V96" s="1000"/>
      <c r="W96" s="1000"/>
      <c r="X96" s="1000"/>
      <c r="Y96" s="1000"/>
      <c r="Z96" s="1000"/>
      <c r="AA96" s="999" t="s">
        <v>502</v>
      </c>
      <c r="AB96" s="999"/>
      <c r="AC96" s="999"/>
      <c r="AD96" s="999"/>
      <c r="AE96" s="999"/>
      <c r="AF96" s="999"/>
    </row>
    <row r="97" spans="1:32" ht="15.2" customHeight="1" thickTop="1" thickBot="1" x14ac:dyDescent="0.25">
      <c r="A97" s="997" t="s">
        <v>1834</v>
      </c>
      <c r="B97" s="997"/>
      <c r="C97" s="997"/>
      <c r="D97" s="997"/>
      <c r="E97" s="997"/>
      <c r="F97" s="997"/>
      <c r="G97" s="997"/>
      <c r="H97" s="997"/>
      <c r="I97" s="997"/>
      <c r="J97" s="997"/>
      <c r="K97" s="998" t="s">
        <v>1835</v>
      </c>
      <c r="L97" s="998"/>
      <c r="M97" s="998"/>
      <c r="N97" s="998"/>
      <c r="O97" s="1000" t="s">
        <v>1836</v>
      </c>
      <c r="P97" s="1000"/>
      <c r="Q97" s="1000"/>
      <c r="R97" s="1000"/>
      <c r="S97" s="1000"/>
      <c r="T97" s="1000"/>
      <c r="U97" s="1000" t="s">
        <v>1837</v>
      </c>
      <c r="V97" s="1000"/>
      <c r="W97" s="1000"/>
      <c r="X97" s="1000"/>
      <c r="Y97" s="1000"/>
      <c r="Z97" s="1000"/>
      <c r="AA97" s="999" t="s">
        <v>1838</v>
      </c>
      <c r="AB97" s="999"/>
      <c r="AC97" s="999"/>
      <c r="AD97" s="999"/>
      <c r="AE97" s="999"/>
      <c r="AF97" s="999"/>
    </row>
    <row r="98" spans="1:32" ht="15.2" customHeight="1" thickTop="1" thickBot="1" x14ac:dyDescent="0.25">
      <c r="A98" s="997" t="s">
        <v>1839</v>
      </c>
      <c r="B98" s="997"/>
      <c r="C98" s="997"/>
      <c r="D98" s="997"/>
      <c r="E98" s="997"/>
      <c r="F98" s="997"/>
      <c r="G98" s="997"/>
      <c r="H98" s="997"/>
      <c r="I98" s="997"/>
      <c r="J98" s="997"/>
      <c r="K98" s="998" t="s">
        <v>1840</v>
      </c>
      <c r="L98" s="998"/>
      <c r="M98" s="998"/>
      <c r="N98" s="998"/>
      <c r="O98" s="1000" t="s">
        <v>1841</v>
      </c>
      <c r="P98" s="1000"/>
      <c r="Q98" s="1000"/>
      <c r="R98" s="1000"/>
      <c r="S98" s="1000"/>
      <c r="T98" s="1000"/>
      <c r="U98" s="1000" t="s">
        <v>1841</v>
      </c>
      <c r="V98" s="1000"/>
      <c r="W98" s="1000"/>
      <c r="X98" s="1000"/>
      <c r="Y98" s="1000"/>
      <c r="Z98" s="1000"/>
      <c r="AA98" s="999" t="s">
        <v>1707</v>
      </c>
      <c r="AB98" s="999"/>
      <c r="AC98" s="999"/>
      <c r="AD98" s="999"/>
      <c r="AE98" s="999"/>
      <c r="AF98" s="999"/>
    </row>
    <row r="99" spans="1:32" ht="15.2" customHeight="1" thickTop="1" thickBot="1" x14ac:dyDescent="0.25">
      <c r="A99" s="997" t="s">
        <v>1842</v>
      </c>
      <c r="B99" s="997"/>
      <c r="C99" s="997"/>
      <c r="D99" s="997"/>
      <c r="E99" s="997"/>
      <c r="F99" s="997"/>
      <c r="G99" s="997"/>
      <c r="H99" s="997"/>
      <c r="I99" s="997"/>
      <c r="J99" s="997"/>
      <c r="K99" s="998" t="s">
        <v>1843</v>
      </c>
      <c r="L99" s="998"/>
      <c r="M99" s="998"/>
      <c r="N99" s="998"/>
      <c r="O99" s="1000" t="s">
        <v>1844</v>
      </c>
      <c r="P99" s="1000"/>
      <c r="Q99" s="1000"/>
      <c r="R99" s="1000"/>
      <c r="S99" s="1000"/>
      <c r="T99" s="1000"/>
      <c r="U99" s="1000" t="s">
        <v>1845</v>
      </c>
      <c r="V99" s="1000"/>
      <c r="W99" s="1000"/>
      <c r="X99" s="1000"/>
      <c r="Y99" s="1000"/>
      <c r="Z99" s="1000"/>
      <c r="AA99" s="999" t="s">
        <v>1846</v>
      </c>
      <c r="AB99" s="999"/>
      <c r="AC99" s="999"/>
      <c r="AD99" s="999"/>
      <c r="AE99" s="999"/>
      <c r="AF99" s="999"/>
    </row>
    <row r="100" spans="1:32" ht="25.35" customHeight="1" thickTop="1" thickBot="1" x14ac:dyDescent="0.25">
      <c r="A100" s="997" t="s">
        <v>1847</v>
      </c>
      <c r="B100" s="997"/>
      <c r="C100" s="997"/>
      <c r="D100" s="997"/>
      <c r="E100" s="997"/>
      <c r="F100" s="997"/>
      <c r="G100" s="997"/>
      <c r="H100" s="997"/>
      <c r="I100" s="997"/>
      <c r="J100" s="997"/>
      <c r="K100" s="998" t="s">
        <v>1848</v>
      </c>
      <c r="L100" s="998"/>
      <c r="M100" s="998"/>
      <c r="N100" s="998"/>
      <c r="O100" s="1000" t="s">
        <v>1849</v>
      </c>
      <c r="P100" s="1000"/>
      <c r="Q100" s="1000"/>
      <c r="R100" s="1000"/>
      <c r="S100" s="1000"/>
      <c r="T100" s="1000"/>
      <c r="U100" s="1000" t="s">
        <v>1849</v>
      </c>
      <c r="V100" s="1000"/>
      <c r="W100" s="1000"/>
      <c r="X100" s="1000"/>
      <c r="Y100" s="1000"/>
      <c r="Z100" s="1000"/>
      <c r="AA100" s="999" t="s">
        <v>1707</v>
      </c>
      <c r="AB100" s="999"/>
      <c r="AC100" s="999"/>
      <c r="AD100" s="999"/>
      <c r="AE100" s="999"/>
      <c r="AF100" s="999"/>
    </row>
    <row r="101" spans="1:32" ht="15.2" customHeight="1" thickTop="1" thickBot="1" x14ac:dyDescent="0.25">
      <c r="A101" s="997" t="s">
        <v>1850</v>
      </c>
      <c r="B101" s="997"/>
      <c r="C101" s="997"/>
      <c r="D101" s="997"/>
      <c r="E101" s="997"/>
      <c r="F101" s="997"/>
      <c r="G101" s="997"/>
      <c r="H101" s="997"/>
      <c r="I101" s="997"/>
      <c r="J101" s="997"/>
      <c r="K101" s="998" t="s">
        <v>1851</v>
      </c>
      <c r="L101" s="998"/>
      <c r="M101" s="998"/>
      <c r="N101" s="998"/>
      <c r="O101" s="1000" t="s">
        <v>1852</v>
      </c>
      <c r="P101" s="1000"/>
      <c r="Q101" s="1000"/>
      <c r="R101" s="1000"/>
      <c r="S101" s="1000"/>
      <c r="T101" s="1000"/>
      <c r="U101" s="1000" t="s">
        <v>1853</v>
      </c>
      <c r="V101" s="1000"/>
      <c r="W101" s="1000"/>
      <c r="X101" s="1000"/>
      <c r="Y101" s="1000"/>
      <c r="Z101" s="1000"/>
      <c r="AA101" s="999" t="s">
        <v>1854</v>
      </c>
      <c r="AB101" s="999"/>
      <c r="AC101" s="999"/>
      <c r="AD101" s="999"/>
      <c r="AE101" s="999"/>
      <c r="AF101" s="999"/>
    </row>
    <row r="102" spans="1:32" ht="15.2" customHeight="1" thickTop="1" thickBot="1" x14ac:dyDescent="0.25">
      <c r="A102" s="997" t="s">
        <v>1855</v>
      </c>
      <c r="B102" s="997"/>
      <c r="C102" s="997"/>
      <c r="D102" s="997"/>
      <c r="E102" s="997"/>
      <c r="F102" s="997"/>
      <c r="G102" s="997"/>
      <c r="H102" s="997"/>
      <c r="I102" s="997"/>
      <c r="J102" s="997"/>
      <c r="K102" s="998" t="s">
        <v>1856</v>
      </c>
      <c r="L102" s="998"/>
      <c r="M102" s="998"/>
      <c r="N102" s="998"/>
      <c r="O102" s="1000" t="s">
        <v>1655</v>
      </c>
      <c r="P102" s="1000"/>
      <c r="Q102" s="1000"/>
      <c r="R102" s="1000"/>
      <c r="S102" s="1000"/>
      <c r="T102" s="1000"/>
      <c r="U102" s="1000" t="s">
        <v>1655</v>
      </c>
      <c r="V102" s="1000"/>
      <c r="W102" s="1000"/>
      <c r="X102" s="1000"/>
      <c r="Y102" s="1000"/>
      <c r="Z102" s="1000"/>
      <c r="AA102" s="999" t="s">
        <v>1655</v>
      </c>
      <c r="AB102" s="999"/>
      <c r="AC102" s="999"/>
      <c r="AD102" s="999"/>
      <c r="AE102" s="999"/>
      <c r="AF102" s="999"/>
    </row>
    <row r="103" spans="1:32" ht="15.2" customHeight="1" thickTop="1" thickBot="1" x14ac:dyDescent="0.25">
      <c r="A103" s="997" t="s">
        <v>1857</v>
      </c>
      <c r="B103" s="997"/>
      <c r="C103" s="997"/>
      <c r="D103" s="997"/>
      <c r="E103" s="997"/>
      <c r="F103" s="997"/>
      <c r="G103" s="997"/>
      <c r="H103" s="997"/>
      <c r="I103" s="997"/>
      <c r="J103" s="997"/>
      <c r="K103" s="998" t="s">
        <v>1858</v>
      </c>
      <c r="L103" s="998"/>
      <c r="M103" s="998"/>
      <c r="N103" s="998"/>
      <c r="O103" s="1000" t="s">
        <v>1859</v>
      </c>
      <c r="P103" s="1000"/>
      <c r="Q103" s="1000"/>
      <c r="R103" s="1000"/>
      <c r="S103" s="1000"/>
      <c r="T103" s="1000"/>
      <c r="U103" s="1000" t="s">
        <v>1860</v>
      </c>
      <c r="V103" s="1000"/>
      <c r="W103" s="1000"/>
      <c r="X103" s="1000"/>
      <c r="Y103" s="1000"/>
      <c r="Z103" s="1000"/>
      <c r="AA103" s="999" t="s">
        <v>1861</v>
      </c>
      <c r="AB103" s="999"/>
      <c r="AC103" s="999"/>
      <c r="AD103" s="999"/>
      <c r="AE103" s="999"/>
      <c r="AF103" s="999"/>
    </row>
    <row r="104" spans="1:32" ht="15.2" customHeight="1" thickTop="1" thickBot="1" x14ac:dyDescent="0.25">
      <c r="A104" s="997" t="s">
        <v>1862</v>
      </c>
      <c r="B104" s="997"/>
      <c r="C104" s="997"/>
      <c r="D104" s="997"/>
      <c r="E104" s="997"/>
      <c r="F104" s="997"/>
      <c r="G104" s="997"/>
      <c r="H104" s="997"/>
      <c r="I104" s="997"/>
      <c r="J104" s="997"/>
      <c r="K104" s="998" t="s">
        <v>1863</v>
      </c>
      <c r="L104" s="998"/>
      <c r="M104" s="998"/>
      <c r="N104" s="998"/>
      <c r="O104" s="1000" t="s">
        <v>1864</v>
      </c>
      <c r="P104" s="1000"/>
      <c r="Q104" s="1000"/>
      <c r="R104" s="1000"/>
      <c r="S104" s="1000"/>
      <c r="T104" s="1000"/>
      <c r="U104" s="1000" t="s">
        <v>1865</v>
      </c>
      <c r="V104" s="1000"/>
      <c r="W104" s="1000"/>
      <c r="X104" s="1000"/>
      <c r="Y104" s="1000"/>
      <c r="Z104" s="1000"/>
      <c r="AA104" s="999" t="s">
        <v>1866</v>
      </c>
      <c r="AB104" s="999"/>
      <c r="AC104" s="999"/>
      <c r="AD104" s="999"/>
      <c r="AE104" s="999"/>
      <c r="AF104" s="999"/>
    </row>
    <row r="105" spans="1:32" ht="25.35" customHeight="1" thickTop="1" thickBot="1" x14ac:dyDescent="0.25">
      <c r="A105" s="997" t="s">
        <v>1867</v>
      </c>
      <c r="B105" s="997"/>
      <c r="C105" s="997"/>
      <c r="D105" s="997"/>
      <c r="E105" s="997"/>
      <c r="F105" s="997"/>
      <c r="G105" s="997"/>
      <c r="H105" s="997"/>
      <c r="I105" s="997"/>
      <c r="J105" s="997"/>
      <c r="K105" s="998" t="s">
        <v>1868</v>
      </c>
      <c r="L105" s="998"/>
      <c r="M105" s="998"/>
      <c r="N105" s="998"/>
      <c r="O105" s="1000" t="s">
        <v>1869</v>
      </c>
      <c r="P105" s="1000"/>
      <c r="Q105" s="1000"/>
      <c r="R105" s="1000"/>
      <c r="S105" s="1000"/>
      <c r="T105" s="1000"/>
      <c r="U105" s="1000" t="s">
        <v>1870</v>
      </c>
      <c r="V105" s="1000"/>
      <c r="W105" s="1000"/>
      <c r="X105" s="1000"/>
      <c r="Y105" s="1000"/>
      <c r="Z105" s="1000"/>
      <c r="AA105" s="999" t="s">
        <v>1871</v>
      </c>
      <c r="AB105" s="999"/>
      <c r="AC105" s="999"/>
      <c r="AD105" s="999"/>
      <c r="AE105" s="999"/>
      <c r="AF105" s="999"/>
    </row>
    <row r="106" spans="1:32" ht="25.35" customHeight="1" thickTop="1" thickBot="1" x14ac:dyDescent="0.25">
      <c r="A106" s="997" t="s">
        <v>1872</v>
      </c>
      <c r="B106" s="997"/>
      <c r="C106" s="997"/>
      <c r="D106" s="997"/>
      <c r="E106" s="997"/>
      <c r="F106" s="997"/>
      <c r="G106" s="997"/>
      <c r="H106" s="997"/>
      <c r="I106" s="997"/>
      <c r="J106" s="997"/>
      <c r="K106" s="998" t="s">
        <v>1873</v>
      </c>
      <c r="L106" s="998"/>
      <c r="M106" s="998"/>
      <c r="N106" s="998"/>
      <c r="O106" s="1000" t="s">
        <v>1874</v>
      </c>
      <c r="P106" s="1000"/>
      <c r="Q106" s="1000"/>
      <c r="R106" s="1000"/>
      <c r="S106" s="1000"/>
      <c r="T106" s="1000"/>
      <c r="U106" s="1000" t="s">
        <v>1875</v>
      </c>
      <c r="V106" s="1000"/>
      <c r="W106" s="1000"/>
      <c r="X106" s="1000"/>
      <c r="Y106" s="1000"/>
      <c r="Z106" s="1000"/>
      <c r="AA106" s="999" t="s">
        <v>1876</v>
      </c>
      <c r="AB106" s="999"/>
      <c r="AC106" s="999"/>
      <c r="AD106" s="999"/>
      <c r="AE106" s="999"/>
      <c r="AF106" s="999"/>
    </row>
    <row r="107" spans="1:32" ht="15.2" customHeight="1" thickTop="1" thickBot="1" x14ac:dyDescent="0.25">
      <c r="A107" s="997" t="s">
        <v>1877</v>
      </c>
      <c r="B107" s="997"/>
      <c r="C107" s="997"/>
      <c r="D107" s="997"/>
      <c r="E107" s="997"/>
      <c r="F107" s="997"/>
      <c r="G107" s="997"/>
      <c r="H107" s="997"/>
      <c r="I107" s="997"/>
      <c r="J107" s="997"/>
      <c r="K107" s="998" t="s">
        <v>1878</v>
      </c>
      <c r="L107" s="998"/>
      <c r="M107" s="998"/>
      <c r="N107" s="998"/>
      <c r="O107" s="1000" t="s">
        <v>1879</v>
      </c>
      <c r="P107" s="1000"/>
      <c r="Q107" s="1000"/>
      <c r="R107" s="1000"/>
      <c r="S107" s="1000"/>
      <c r="T107" s="1000"/>
      <c r="U107" s="1000" t="s">
        <v>1880</v>
      </c>
      <c r="V107" s="1000"/>
      <c r="W107" s="1000"/>
      <c r="X107" s="1000"/>
      <c r="Y107" s="1000"/>
      <c r="Z107" s="1000"/>
      <c r="AA107" s="999" t="s">
        <v>1881</v>
      </c>
      <c r="AB107" s="999"/>
      <c r="AC107" s="999"/>
      <c r="AD107" s="999"/>
      <c r="AE107" s="999"/>
      <c r="AF107" s="999"/>
    </row>
    <row r="108" spans="1:32" ht="25.35" customHeight="1" thickTop="1" thickBot="1" x14ac:dyDescent="0.25">
      <c r="A108" s="997" t="s">
        <v>1882</v>
      </c>
      <c r="B108" s="997"/>
      <c r="C108" s="997"/>
      <c r="D108" s="997"/>
      <c r="E108" s="997"/>
      <c r="F108" s="997"/>
      <c r="G108" s="997"/>
      <c r="H108" s="997"/>
      <c r="I108" s="997"/>
      <c r="J108" s="997"/>
      <c r="K108" s="998" t="s">
        <v>1883</v>
      </c>
      <c r="L108" s="998"/>
      <c r="M108" s="998"/>
      <c r="N108" s="998"/>
      <c r="O108" s="1000" t="s">
        <v>1655</v>
      </c>
      <c r="P108" s="1000"/>
      <c r="Q108" s="1000"/>
      <c r="R108" s="1000"/>
      <c r="S108" s="1000"/>
      <c r="T108" s="1000"/>
      <c r="U108" s="1000" t="s">
        <v>1655</v>
      </c>
      <c r="V108" s="1000"/>
      <c r="W108" s="1000"/>
      <c r="X108" s="1000"/>
      <c r="Y108" s="1000"/>
      <c r="Z108" s="1000"/>
      <c r="AA108" s="999" t="s">
        <v>1655</v>
      </c>
      <c r="AB108" s="999"/>
      <c r="AC108" s="999"/>
      <c r="AD108" s="999"/>
      <c r="AE108" s="999"/>
      <c r="AF108" s="999"/>
    </row>
    <row r="109" spans="1:32" ht="25.35" customHeight="1" thickTop="1" thickBot="1" x14ac:dyDescent="0.25">
      <c r="A109" s="997" t="s">
        <v>1884</v>
      </c>
      <c r="B109" s="997"/>
      <c r="C109" s="997"/>
      <c r="D109" s="997"/>
      <c r="E109" s="997"/>
      <c r="F109" s="997"/>
      <c r="G109" s="997"/>
      <c r="H109" s="997"/>
      <c r="I109" s="997"/>
      <c r="J109" s="997"/>
      <c r="K109" s="998" t="s">
        <v>1885</v>
      </c>
      <c r="L109" s="998"/>
      <c r="M109" s="998"/>
      <c r="N109" s="998"/>
      <c r="O109" s="1000" t="s">
        <v>1886</v>
      </c>
      <c r="P109" s="1000"/>
      <c r="Q109" s="1000"/>
      <c r="R109" s="1000"/>
      <c r="S109" s="1000"/>
      <c r="T109" s="1000"/>
      <c r="U109" s="1000" t="s">
        <v>1887</v>
      </c>
      <c r="V109" s="1000"/>
      <c r="W109" s="1000"/>
      <c r="X109" s="1000"/>
      <c r="Y109" s="1000"/>
      <c r="Z109" s="1000"/>
      <c r="AA109" s="999" t="s">
        <v>1888</v>
      </c>
      <c r="AB109" s="999"/>
      <c r="AC109" s="999"/>
      <c r="AD109" s="999"/>
      <c r="AE109" s="999"/>
      <c r="AF109" s="999"/>
    </row>
    <row r="110" spans="1:32" ht="15.2" customHeight="1" thickTop="1" thickBot="1" x14ac:dyDescent="0.25">
      <c r="A110" s="997" t="s">
        <v>1889</v>
      </c>
      <c r="B110" s="997"/>
      <c r="C110" s="997"/>
      <c r="D110" s="997"/>
      <c r="E110" s="997"/>
      <c r="F110" s="997"/>
      <c r="G110" s="997"/>
      <c r="H110" s="997"/>
      <c r="I110" s="997"/>
      <c r="J110" s="997"/>
      <c r="K110" s="998" t="s">
        <v>1890</v>
      </c>
      <c r="L110" s="998"/>
      <c r="M110" s="998"/>
      <c r="N110" s="998"/>
      <c r="O110" s="1000" t="s">
        <v>1891</v>
      </c>
      <c r="P110" s="1000"/>
      <c r="Q110" s="1000"/>
      <c r="R110" s="1000"/>
      <c r="S110" s="1000"/>
      <c r="T110" s="1000"/>
      <c r="U110" s="1000" t="s">
        <v>1892</v>
      </c>
      <c r="V110" s="1000"/>
      <c r="W110" s="1000"/>
      <c r="X110" s="1000"/>
      <c r="Y110" s="1000"/>
      <c r="Z110" s="1000"/>
      <c r="AA110" s="999" t="s">
        <v>1893</v>
      </c>
      <c r="AB110" s="999"/>
      <c r="AC110" s="999"/>
      <c r="AD110" s="999"/>
      <c r="AE110" s="999"/>
      <c r="AF110" s="999"/>
    </row>
    <row r="111" spans="1:32" ht="15.2" customHeight="1" thickTop="1" thickBot="1" x14ac:dyDescent="0.25">
      <c r="A111" s="997" t="s">
        <v>502</v>
      </c>
      <c r="B111" s="997"/>
      <c r="C111" s="997"/>
      <c r="D111" s="997"/>
      <c r="E111" s="997"/>
      <c r="F111" s="997"/>
      <c r="G111" s="997"/>
      <c r="H111" s="997"/>
      <c r="I111" s="997"/>
      <c r="J111" s="997"/>
      <c r="K111" s="998" t="s">
        <v>502</v>
      </c>
      <c r="L111" s="998"/>
      <c r="M111" s="998"/>
      <c r="N111" s="998"/>
      <c r="O111" s="1000" t="s">
        <v>502</v>
      </c>
      <c r="P111" s="1000"/>
      <c r="Q111" s="1000"/>
      <c r="R111" s="1000"/>
      <c r="S111" s="1000"/>
      <c r="T111" s="1000"/>
      <c r="U111" s="1000" t="s">
        <v>502</v>
      </c>
      <c r="V111" s="1000"/>
      <c r="W111" s="1000"/>
      <c r="X111" s="1000"/>
      <c r="Y111" s="1000"/>
      <c r="Z111" s="1000"/>
      <c r="AA111" s="999" t="s">
        <v>502</v>
      </c>
      <c r="AB111" s="999"/>
      <c r="AC111" s="999"/>
      <c r="AD111" s="999"/>
      <c r="AE111" s="999"/>
      <c r="AF111" s="999"/>
    </row>
    <row r="112" spans="1:32" ht="15.2" customHeight="1" thickTop="1" thickBot="1" x14ac:dyDescent="0.25">
      <c r="A112" s="997" t="s">
        <v>1894</v>
      </c>
      <c r="B112" s="997"/>
      <c r="C112" s="997"/>
      <c r="D112" s="997"/>
      <c r="E112" s="997"/>
      <c r="F112" s="997"/>
      <c r="G112" s="997"/>
      <c r="H112" s="997"/>
      <c r="I112" s="997"/>
      <c r="J112" s="997"/>
      <c r="K112" s="998" t="s">
        <v>1895</v>
      </c>
      <c r="L112" s="998"/>
      <c r="M112" s="998"/>
      <c r="N112" s="998"/>
      <c r="O112" s="1000" t="s">
        <v>502</v>
      </c>
      <c r="P112" s="1000"/>
      <c r="Q112" s="1000"/>
      <c r="R112" s="1000"/>
      <c r="S112" s="1000"/>
      <c r="T112" s="1000"/>
      <c r="U112" s="1000" t="s">
        <v>502</v>
      </c>
      <c r="V112" s="1000"/>
      <c r="W112" s="1000"/>
      <c r="X112" s="1000"/>
      <c r="Y112" s="1000"/>
      <c r="Z112" s="1000"/>
      <c r="AA112" s="999" t="s">
        <v>502</v>
      </c>
      <c r="AB112" s="999"/>
      <c r="AC112" s="999"/>
      <c r="AD112" s="999"/>
      <c r="AE112" s="999"/>
      <c r="AF112" s="999"/>
    </row>
    <row r="113" spans="1:32" ht="15.2" customHeight="1" thickTop="1" thickBot="1" x14ac:dyDescent="0.25">
      <c r="A113" s="997" t="s">
        <v>1896</v>
      </c>
      <c r="B113" s="997"/>
      <c r="C113" s="997"/>
      <c r="D113" s="997"/>
      <c r="E113" s="997"/>
      <c r="F113" s="997"/>
      <c r="G113" s="997"/>
      <c r="H113" s="997"/>
      <c r="I113" s="997"/>
      <c r="J113" s="997"/>
      <c r="K113" s="998" t="s">
        <v>1897</v>
      </c>
      <c r="L113" s="998"/>
      <c r="M113" s="998"/>
      <c r="N113" s="998"/>
      <c r="O113" s="1000" t="s">
        <v>1655</v>
      </c>
      <c r="P113" s="1000"/>
      <c r="Q113" s="1000"/>
      <c r="R113" s="1000"/>
      <c r="S113" s="1000"/>
      <c r="T113" s="1000"/>
      <c r="U113" s="1000" t="s">
        <v>1655</v>
      </c>
      <c r="V113" s="1000"/>
      <c r="W113" s="1000"/>
      <c r="X113" s="1000"/>
      <c r="Y113" s="1000"/>
      <c r="Z113" s="1000"/>
      <c r="AA113" s="999" t="s">
        <v>1655</v>
      </c>
      <c r="AB113" s="999"/>
      <c r="AC113" s="999"/>
      <c r="AD113" s="999"/>
      <c r="AE113" s="999"/>
      <c r="AF113" s="999"/>
    </row>
    <row r="114" spans="1:32" ht="25.35" customHeight="1" thickTop="1" thickBot="1" x14ac:dyDescent="0.25">
      <c r="A114" s="997" t="s">
        <v>1898</v>
      </c>
      <c r="B114" s="997"/>
      <c r="C114" s="997"/>
      <c r="D114" s="997"/>
      <c r="E114" s="997"/>
      <c r="F114" s="997"/>
      <c r="G114" s="997"/>
      <c r="H114" s="997"/>
      <c r="I114" s="997"/>
      <c r="J114" s="997"/>
      <c r="K114" s="998" t="s">
        <v>1899</v>
      </c>
      <c r="L114" s="998"/>
      <c r="M114" s="998"/>
      <c r="N114" s="998"/>
      <c r="O114" s="1000" t="s">
        <v>1655</v>
      </c>
      <c r="P114" s="1000"/>
      <c r="Q114" s="1000"/>
      <c r="R114" s="1000"/>
      <c r="S114" s="1000"/>
      <c r="T114" s="1000"/>
      <c r="U114" s="1000" t="s">
        <v>1655</v>
      </c>
      <c r="V114" s="1000"/>
      <c r="W114" s="1000"/>
      <c r="X114" s="1000"/>
      <c r="Y114" s="1000"/>
      <c r="Z114" s="1000"/>
      <c r="AA114" s="999" t="s">
        <v>1655</v>
      </c>
      <c r="AB114" s="999"/>
      <c r="AC114" s="999"/>
      <c r="AD114" s="999"/>
      <c r="AE114" s="999"/>
      <c r="AF114" s="999"/>
    </row>
    <row r="115" spans="1:32" ht="15.2" customHeight="1" thickTop="1" thickBot="1" x14ac:dyDescent="0.25">
      <c r="A115" s="997" t="s">
        <v>1900</v>
      </c>
      <c r="B115" s="997"/>
      <c r="C115" s="997"/>
      <c r="D115" s="997"/>
      <c r="E115" s="997"/>
      <c r="F115" s="997"/>
      <c r="G115" s="997"/>
      <c r="H115" s="997"/>
      <c r="I115" s="997"/>
      <c r="J115" s="997"/>
      <c r="K115" s="998" t="s">
        <v>1901</v>
      </c>
      <c r="L115" s="998"/>
      <c r="M115" s="998"/>
      <c r="N115" s="998"/>
      <c r="O115" s="1000" t="s">
        <v>1655</v>
      </c>
      <c r="P115" s="1000"/>
      <c r="Q115" s="1000"/>
      <c r="R115" s="1000"/>
      <c r="S115" s="1000"/>
      <c r="T115" s="1000"/>
      <c r="U115" s="1000" t="s">
        <v>1655</v>
      </c>
      <c r="V115" s="1000"/>
      <c r="W115" s="1000"/>
      <c r="X115" s="1000"/>
      <c r="Y115" s="1000"/>
      <c r="Z115" s="1000"/>
      <c r="AA115" s="999" t="s">
        <v>1655</v>
      </c>
      <c r="AB115" s="999"/>
      <c r="AC115" s="999"/>
      <c r="AD115" s="999"/>
      <c r="AE115" s="999"/>
      <c r="AF115" s="999"/>
    </row>
    <row r="116" spans="1:32" ht="46.35" customHeight="1" thickTop="1" thickBot="1" x14ac:dyDescent="0.25">
      <c r="A116" s="997" t="s">
        <v>1902</v>
      </c>
      <c r="B116" s="997"/>
      <c r="C116" s="997"/>
      <c r="D116" s="997"/>
      <c r="E116" s="997"/>
      <c r="F116" s="997"/>
      <c r="G116" s="997"/>
      <c r="H116" s="997"/>
      <c r="I116" s="997"/>
      <c r="J116" s="997"/>
      <c r="K116" s="998" t="s">
        <v>1903</v>
      </c>
      <c r="L116" s="998"/>
      <c r="M116" s="998"/>
      <c r="N116" s="998"/>
      <c r="O116" s="1000" t="s">
        <v>1904</v>
      </c>
      <c r="P116" s="1000"/>
      <c r="Q116" s="1000"/>
      <c r="R116" s="1000"/>
      <c r="S116" s="1000"/>
      <c r="T116" s="1000"/>
      <c r="U116" s="1000" t="s">
        <v>1905</v>
      </c>
      <c r="V116" s="1000"/>
      <c r="W116" s="1000"/>
      <c r="X116" s="1000"/>
      <c r="Y116" s="1000"/>
      <c r="Z116" s="1000"/>
      <c r="AA116" s="999" t="s">
        <v>1906</v>
      </c>
      <c r="AB116" s="999"/>
      <c r="AC116" s="999"/>
      <c r="AD116" s="999"/>
      <c r="AE116" s="999"/>
      <c r="AF116" s="999"/>
    </row>
    <row r="117" spans="1:32" ht="46.35" customHeight="1" thickTop="1" thickBot="1" x14ac:dyDescent="0.25">
      <c r="A117" s="997" t="s">
        <v>1907</v>
      </c>
      <c r="B117" s="997"/>
      <c r="C117" s="997"/>
      <c r="D117" s="997"/>
      <c r="E117" s="997"/>
      <c r="F117" s="997"/>
      <c r="G117" s="997"/>
      <c r="H117" s="997"/>
      <c r="I117" s="997"/>
      <c r="J117" s="997"/>
      <c r="K117" s="998" t="s">
        <v>1908</v>
      </c>
      <c r="L117" s="998"/>
      <c r="M117" s="998"/>
      <c r="N117" s="998"/>
      <c r="O117" s="1000" t="s">
        <v>1655</v>
      </c>
      <c r="P117" s="1000"/>
      <c r="Q117" s="1000"/>
      <c r="R117" s="1000"/>
      <c r="S117" s="1000"/>
      <c r="T117" s="1000"/>
      <c r="U117" s="1000" t="s">
        <v>1655</v>
      </c>
      <c r="V117" s="1000"/>
      <c r="W117" s="1000"/>
      <c r="X117" s="1000"/>
      <c r="Y117" s="1000"/>
      <c r="Z117" s="1000"/>
      <c r="AA117" s="999" t="s">
        <v>1655</v>
      </c>
      <c r="AB117" s="999"/>
      <c r="AC117" s="999"/>
      <c r="AD117" s="999"/>
      <c r="AE117" s="999"/>
      <c r="AF117" s="999"/>
    </row>
    <row r="118" spans="1:32" ht="15.2" customHeight="1" thickTop="1" thickBot="1" x14ac:dyDescent="0.25">
      <c r="A118" s="997" t="s">
        <v>1909</v>
      </c>
      <c r="B118" s="997"/>
      <c r="C118" s="997"/>
      <c r="D118" s="997"/>
      <c r="E118" s="997"/>
      <c r="F118" s="997"/>
      <c r="G118" s="997"/>
      <c r="H118" s="997"/>
      <c r="I118" s="997"/>
      <c r="J118" s="997"/>
      <c r="K118" s="998" t="s">
        <v>1910</v>
      </c>
      <c r="L118" s="998"/>
      <c r="M118" s="998"/>
      <c r="N118" s="998"/>
      <c r="O118" s="1000" t="s">
        <v>1911</v>
      </c>
      <c r="P118" s="1000"/>
      <c r="Q118" s="1000"/>
      <c r="R118" s="1000"/>
      <c r="S118" s="1000"/>
      <c r="T118" s="1000"/>
      <c r="U118" s="1000" t="s">
        <v>1912</v>
      </c>
      <c r="V118" s="1000"/>
      <c r="W118" s="1000"/>
      <c r="X118" s="1000"/>
      <c r="Y118" s="1000"/>
      <c r="Z118" s="1000"/>
      <c r="AA118" s="999" t="s">
        <v>1913</v>
      </c>
      <c r="AB118" s="999"/>
      <c r="AC118" s="999"/>
      <c r="AD118" s="999"/>
      <c r="AE118" s="999"/>
      <c r="AF118" s="999"/>
    </row>
    <row r="119" spans="1:32" ht="15.2" customHeight="1" thickTop="1" thickBot="1" x14ac:dyDescent="0.25">
      <c r="A119" s="997" t="s">
        <v>1914</v>
      </c>
      <c r="B119" s="997"/>
      <c r="C119" s="997"/>
      <c r="D119" s="997"/>
      <c r="E119" s="997"/>
      <c r="F119" s="997"/>
      <c r="G119" s="997"/>
      <c r="H119" s="997"/>
      <c r="I119" s="997"/>
      <c r="J119" s="997"/>
      <c r="K119" s="998" t="s">
        <v>1915</v>
      </c>
      <c r="L119" s="998"/>
      <c r="M119" s="998"/>
      <c r="N119" s="998"/>
      <c r="O119" s="1000" t="s">
        <v>1916</v>
      </c>
      <c r="P119" s="1000"/>
      <c r="Q119" s="1000"/>
      <c r="R119" s="1000"/>
      <c r="S119" s="1000"/>
      <c r="T119" s="1000"/>
      <c r="U119" s="1000" t="s">
        <v>1917</v>
      </c>
      <c r="V119" s="1000"/>
      <c r="W119" s="1000"/>
      <c r="X119" s="1000"/>
      <c r="Y119" s="1000"/>
      <c r="Z119" s="1000"/>
      <c r="AA119" s="999" t="s">
        <v>1918</v>
      </c>
      <c r="AB119" s="999"/>
      <c r="AC119" s="999"/>
      <c r="AD119" s="999"/>
      <c r="AE119" s="999"/>
      <c r="AF119" s="999"/>
    </row>
    <row r="120" spans="1:32" ht="15.2" customHeight="1" thickTop="1" thickBot="1" x14ac:dyDescent="0.25">
      <c r="A120" s="997" t="s">
        <v>1919</v>
      </c>
      <c r="B120" s="997"/>
      <c r="C120" s="997"/>
      <c r="D120" s="997"/>
      <c r="E120" s="997"/>
      <c r="F120" s="997"/>
      <c r="G120" s="997"/>
      <c r="H120" s="997"/>
      <c r="I120" s="997"/>
      <c r="J120" s="997"/>
      <c r="K120" s="998" t="s">
        <v>1920</v>
      </c>
      <c r="L120" s="998"/>
      <c r="M120" s="998"/>
      <c r="N120" s="998"/>
      <c r="O120" s="998" t="s">
        <v>1655</v>
      </c>
      <c r="P120" s="998"/>
      <c r="Q120" s="998"/>
      <c r="R120" s="998"/>
      <c r="S120" s="998"/>
      <c r="T120" s="998"/>
      <c r="U120" s="998" t="s">
        <v>1655</v>
      </c>
      <c r="V120" s="998"/>
      <c r="W120" s="998"/>
      <c r="X120" s="998"/>
      <c r="Y120" s="998"/>
      <c r="Z120" s="998"/>
      <c r="AA120" s="999" t="s">
        <v>1655</v>
      </c>
      <c r="AB120" s="999"/>
      <c r="AC120" s="999"/>
      <c r="AD120" s="999"/>
      <c r="AE120" s="999"/>
      <c r="AF120" s="999"/>
    </row>
    <row r="121" spans="1:32" ht="13.5" thickTop="1" x14ac:dyDescent="0.2">
      <c r="A121" s="704"/>
      <c r="B121" s="704"/>
      <c r="C121" s="704"/>
      <c r="D121" s="704"/>
      <c r="E121" s="704"/>
      <c r="F121" s="704"/>
      <c r="G121" s="704"/>
      <c r="H121" s="704"/>
      <c r="I121" s="704"/>
      <c r="J121" s="704"/>
      <c r="K121" s="704"/>
      <c r="L121" s="704"/>
      <c r="M121" s="704"/>
      <c r="N121" s="704"/>
      <c r="O121" s="704"/>
      <c r="P121" s="704"/>
      <c r="Q121" s="704"/>
      <c r="R121" s="704"/>
      <c r="S121" s="704"/>
      <c r="T121" s="704"/>
      <c r="U121" s="704"/>
    </row>
  </sheetData>
  <sheetProtection selectLockedCells="1" selectUnlockedCells="1"/>
  <mergeCells count="575">
    <mergeCell ref="A5:AF5"/>
    <mergeCell ref="A6:AF6"/>
    <mergeCell ref="A7:J7"/>
    <mergeCell ref="K7:N7"/>
    <mergeCell ref="O7:T7"/>
    <mergeCell ref="U7:Z7"/>
    <mergeCell ref="AA7:AF7"/>
    <mergeCell ref="A2:AF2"/>
    <mergeCell ref="A3:AF3"/>
    <mergeCell ref="A4:AF4"/>
    <mergeCell ref="A8:J8"/>
    <mergeCell ref="K8:N8"/>
    <mergeCell ref="O8:T8"/>
    <mergeCell ref="U8:Z8"/>
    <mergeCell ref="AA8:AF8"/>
    <mergeCell ref="A9:J9"/>
    <mergeCell ref="K9:N9"/>
    <mergeCell ref="O9:T9"/>
    <mergeCell ref="U9:Z9"/>
    <mergeCell ref="AA9:AF9"/>
    <mergeCell ref="A10:J10"/>
    <mergeCell ref="K10:N10"/>
    <mergeCell ref="O10:T10"/>
    <mergeCell ref="U10:Z10"/>
    <mergeCell ref="AA10:AF10"/>
    <mergeCell ref="A11:J11"/>
    <mergeCell ref="K11:N11"/>
    <mergeCell ref="O11:T11"/>
    <mergeCell ref="U11:Z11"/>
    <mergeCell ref="AA11:AF11"/>
    <mergeCell ref="A12:J12"/>
    <mergeCell ref="K12:N12"/>
    <mergeCell ref="O12:T12"/>
    <mergeCell ref="U12:Z12"/>
    <mergeCell ref="AA12:AF12"/>
    <mergeCell ref="A13:J13"/>
    <mergeCell ref="K13:N13"/>
    <mergeCell ref="O13:T13"/>
    <mergeCell ref="U13:Z13"/>
    <mergeCell ref="AA13:AF13"/>
    <mergeCell ref="A14:J14"/>
    <mergeCell ref="K14:N14"/>
    <mergeCell ref="O14:T14"/>
    <mergeCell ref="U14:Z14"/>
    <mergeCell ref="AA14:AF14"/>
    <mergeCell ref="A15:J15"/>
    <mergeCell ref="K15:N15"/>
    <mergeCell ref="O15:T15"/>
    <mergeCell ref="U15:Z15"/>
    <mergeCell ref="AA15:AF15"/>
    <mergeCell ref="A16:J16"/>
    <mergeCell ref="K16:N16"/>
    <mergeCell ref="O16:T16"/>
    <mergeCell ref="U16:Z16"/>
    <mergeCell ref="AA16:AF16"/>
    <mergeCell ref="A17:J17"/>
    <mergeCell ref="K17:N17"/>
    <mergeCell ref="O17:T17"/>
    <mergeCell ref="U17:Z17"/>
    <mergeCell ref="AA17:AF17"/>
    <mergeCell ref="A18:J18"/>
    <mergeCell ref="K18:N18"/>
    <mergeCell ref="O18:T18"/>
    <mergeCell ref="U18:Z18"/>
    <mergeCell ref="AA18:AF18"/>
    <mergeCell ref="A19:J19"/>
    <mergeCell ref="K19:N19"/>
    <mergeCell ref="O19:T19"/>
    <mergeCell ref="U19:Z19"/>
    <mergeCell ref="AA19:AF19"/>
    <mergeCell ref="A20:J20"/>
    <mergeCell ref="K20:N20"/>
    <mergeCell ref="O20:T20"/>
    <mergeCell ref="U20:Z20"/>
    <mergeCell ref="AA20:AF20"/>
    <mergeCell ref="A21:J21"/>
    <mergeCell ref="K21:N21"/>
    <mergeCell ref="O21:T21"/>
    <mergeCell ref="U21:Z21"/>
    <mergeCell ref="AA21:AF21"/>
    <mergeCell ref="A22:J22"/>
    <mergeCell ref="K22:N22"/>
    <mergeCell ref="O22:T22"/>
    <mergeCell ref="U22:Z22"/>
    <mergeCell ref="AA22:AF22"/>
    <mergeCell ref="A23:J23"/>
    <mergeCell ref="K23:N23"/>
    <mergeCell ref="O23:T23"/>
    <mergeCell ref="U23:Z23"/>
    <mergeCell ref="AA23:AF23"/>
    <mergeCell ref="A24:J24"/>
    <mergeCell ref="K24:N24"/>
    <mergeCell ref="O24:T24"/>
    <mergeCell ref="U24:Z24"/>
    <mergeCell ref="AA24:AF24"/>
    <mergeCell ref="A25:J25"/>
    <mergeCell ref="K25:N25"/>
    <mergeCell ref="O25:T25"/>
    <mergeCell ref="U25:Z25"/>
    <mergeCell ref="AA25:AF25"/>
    <mergeCell ref="A26:J26"/>
    <mergeCell ref="K26:N26"/>
    <mergeCell ref="O26:T26"/>
    <mergeCell ref="U26:Z26"/>
    <mergeCell ref="AA26:AF26"/>
    <mergeCell ref="A27:J27"/>
    <mergeCell ref="K27:N27"/>
    <mergeCell ref="O27:T27"/>
    <mergeCell ref="U27:Z27"/>
    <mergeCell ref="AA27:AF27"/>
    <mergeCell ref="A28:J28"/>
    <mergeCell ref="K28:N28"/>
    <mergeCell ref="O28:T28"/>
    <mergeCell ref="U28:Z28"/>
    <mergeCell ref="AA28:AF28"/>
    <mergeCell ref="A29:J29"/>
    <mergeCell ref="K29:N29"/>
    <mergeCell ref="O29:T29"/>
    <mergeCell ref="U29:Z29"/>
    <mergeCell ref="AA29:AF29"/>
    <mergeCell ref="A30:J30"/>
    <mergeCell ref="K30:N30"/>
    <mergeCell ref="O30:T30"/>
    <mergeCell ref="U30:Z30"/>
    <mergeCell ref="AA30:AF30"/>
    <mergeCell ref="A31:J31"/>
    <mergeCell ref="K31:N31"/>
    <mergeCell ref="O31:T31"/>
    <mergeCell ref="U31:Z31"/>
    <mergeCell ref="AA31:AF31"/>
    <mergeCell ref="A32:J32"/>
    <mergeCell ref="K32:N32"/>
    <mergeCell ref="O32:T32"/>
    <mergeCell ref="U32:Z32"/>
    <mergeCell ref="AA32:AF32"/>
    <mergeCell ref="A33:J33"/>
    <mergeCell ref="K33:N33"/>
    <mergeCell ref="O33:T33"/>
    <mergeCell ref="U33:Z33"/>
    <mergeCell ref="AA33:AF33"/>
    <mergeCell ref="A34:J34"/>
    <mergeCell ref="K34:N34"/>
    <mergeCell ref="O34:T34"/>
    <mergeCell ref="U34:Z34"/>
    <mergeCell ref="AA34:AF34"/>
    <mergeCell ref="A35:J35"/>
    <mergeCell ref="K35:N35"/>
    <mergeCell ref="O35:T35"/>
    <mergeCell ref="U35:Z35"/>
    <mergeCell ref="AA35:AF35"/>
    <mergeCell ref="A36:J36"/>
    <mergeCell ref="K36:N36"/>
    <mergeCell ref="O36:T36"/>
    <mergeCell ref="U36:Z36"/>
    <mergeCell ref="AA36:AF36"/>
    <mergeCell ref="A37:J37"/>
    <mergeCell ref="K37:N37"/>
    <mergeCell ref="O37:T37"/>
    <mergeCell ref="U37:Z37"/>
    <mergeCell ref="AA37:AF37"/>
    <mergeCell ref="A38:J38"/>
    <mergeCell ref="K38:N38"/>
    <mergeCell ref="O38:T38"/>
    <mergeCell ref="U38:Z38"/>
    <mergeCell ref="AA38:AF38"/>
    <mergeCell ref="A39:J39"/>
    <mergeCell ref="K39:N39"/>
    <mergeCell ref="O39:T39"/>
    <mergeCell ref="U39:Z39"/>
    <mergeCell ref="AA39:AF39"/>
    <mergeCell ref="A40:J40"/>
    <mergeCell ref="K40:N40"/>
    <mergeCell ref="O40:T40"/>
    <mergeCell ref="U40:Z40"/>
    <mergeCell ref="AA40:AF40"/>
    <mergeCell ref="A41:J41"/>
    <mergeCell ref="K41:N41"/>
    <mergeCell ref="O41:T41"/>
    <mergeCell ref="U41:Z41"/>
    <mergeCell ref="AA41:AF41"/>
    <mergeCell ref="A42:J42"/>
    <mergeCell ref="K42:N42"/>
    <mergeCell ref="O42:T42"/>
    <mergeCell ref="U42:Z42"/>
    <mergeCell ref="AA42:AF42"/>
    <mergeCell ref="A43:J43"/>
    <mergeCell ref="K43:N43"/>
    <mergeCell ref="O43:T43"/>
    <mergeCell ref="U43:Z43"/>
    <mergeCell ref="AA43:AF43"/>
    <mergeCell ref="A44:J44"/>
    <mergeCell ref="K44:N44"/>
    <mergeCell ref="O44:T44"/>
    <mergeCell ref="U44:Z44"/>
    <mergeCell ref="AA44:AF44"/>
    <mergeCell ref="A45:J45"/>
    <mergeCell ref="K45:N45"/>
    <mergeCell ref="O45:T45"/>
    <mergeCell ref="U45:Z45"/>
    <mergeCell ref="AA45:AF45"/>
    <mergeCell ref="A46:J46"/>
    <mergeCell ref="K46:N46"/>
    <mergeCell ref="O46:T46"/>
    <mergeCell ref="U46:Z46"/>
    <mergeCell ref="AA46:AF46"/>
    <mergeCell ref="A47:J47"/>
    <mergeCell ref="K47:N47"/>
    <mergeCell ref="O47:T47"/>
    <mergeCell ref="U47:Z47"/>
    <mergeCell ref="AA47:AF47"/>
    <mergeCell ref="A48:J48"/>
    <mergeCell ref="K48:N48"/>
    <mergeCell ref="O48:T48"/>
    <mergeCell ref="U48:Z48"/>
    <mergeCell ref="AA48:AF48"/>
    <mergeCell ref="A49:J49"/>
    <mergeCell ref="K49:N49"/>
    <mergeCell ref="O49:T49"/>
    <mergeCell ref="U49:Z49"/>
    <mergeCell ref="AA49:AF49"/>
    <mergeCell ref="A50:J50"/>
    <mergeCell ref="K50:N50"/>
    <mergeCell ref="O50:T50"/>
    <mergeCell ref="U50:Z50"/>
    <mergeCell ref="AA50:AF50"/>
    <mergeCell ref="A51:J51"/>
    <mergeCell ref="K51:N51"/>
    <mergeCell ref="O51:T51"/>
    <mergeCell ref="U51:Z51"/>
    <mergeCell ref="AA51:AF51"/>
    <mergeCell ref="A52:J52"/>
    <mergeCell ref="K52:N52"/>
    <mergeCell ref="O52:T52"/>
    <mergeCell ref="U52:Z52"/>
    <mergeCell ref="AA52:AF52"/>
    <mergeCell ref="A53:J53"/>
    <mergeCell ref="K53:N53"/>
    <mergeCell ref="O53:T53"/>
    <mergeCell ref="U53:Z53"/>
    <mergeCell ref="AA53:AF53"/>
    <mergeCell ref="A54:J54"/>
    <mergeCell ref="K54:N54"/>
    <mergeCell ref="O54:T54"/>
    <mergeCell ref="U54:Z54"/>
    <mergeCell ref="AA54:AF54"/>
    <mergeCell ref="A55:J55"/>
    <mergeCell ref="K55:N55"/>
    <mergeCell ref="O55:T55"/>
    <mergeCell ref="U55:Z55"/>
    <mergeCell ref="AA55:AF55"/>
    <mergeCell ref="A56:J56"/>
    <mergeCell ref="K56:N56"/>
    <mergeCell ref="O56:T56"/>
    <mergeCell ref="U56:Z56"/>
    <mergeCell ref="AA56:AF56"/>
    <mergeCell ref="A57:J57"/>
    <mergeCell ref="K57:N57"/>
    <mergeCell ref="O57:T57"/>
    <mergeCell ref="U57:Z57"/>
    <mergeCell ref="AA57:AF57"/>
    <mergeCell ref="A58:J58"/>
    <mergeCell ref="K58:N58"/>
    <mergeCell ref="O58:T58"/>
    <mergeCell ref="U58:Z58"/>
    <mergeCell ref="AA58:AF58"/>
    <mergeCell ref="A59:J59"/>
    <mergeCell ref="K59:N59"/>
    <mergeCell ref="O59:T59"/>
    <mergeCell ref="U59:Z59"/>
    <mergeCell ref="AA59:AF59"/>
    <mergeCell ref="A60:J60"/>
    <mergeCell ref="K60:N60"/>
    <mergeCell ref="O60:T60"/>
    <mergeCell ref="U60:Z60"/>
    <mergeCell ref="AA60:AF60"/>
    <mergeCell ref="A61:J61"/>
    <mergeCell ref="K61:N61"/>
    <mergeCell ref="O61:T61"/>
    <mergeCell ref="U61:Z61"/>
    <mergeCell ref="AA61:AF61"/>
    <mergeCell ref="A62:J62"/>
    <mergeCell ref="K62:N62"/>
    <mergeCell ref="O62:T62"/>
    <mergeCell ref="U62:Z62"/>
    <mergeCell ref="AA62:AF62"/>
    <mergeCell ref="A63:J63"/>
    <mergeCell ref="K63:N63"/>
    <mergeCell ref="O63:T63"/>
    <mergeCell ref="U63:Z63"/>
    <mergeCell ref="AA63:AF63"/>
    <mergeCell ref="A64:J64"/>
    <mergeCell ref="K64:N64"/>
    <mergeCell ref="O64:T64"/>
    <mergeCell ref="U64:Z64"/>
    <mergeCell ref="AA64:AF64"/>
    <mergeCell ref="A65:J65"/>
    <mergeCell ref="K65:N65"/>
    <mergeCell ref="O65:T65"/>
    <mergeCell ref="U65:Z65"/>
    <mergeCell ref="AA65:AF65"/>
    <mergeCell ref="A66:J66"/>
    <mergeCell ref="K66:N66"/>
    <mergeCell ref="O66:T66"/>
    <mergeCell ref="U66:Z66"/>
    <mergeCell ref="AA66:AF66"/>
    <mergeCell ref="A67:J67"/>
    <mergeCell ref="K67:N67"/>
    <mergeCell ref="O67:T67"/>
    <mergeCell ref="U67:Z67"/>
    <mergeCell ref="AA67:AF67"/>
    <mergeCell ref="A68:J68"/>
    <mergeCell ref="K68:N68"/>
    <mergeCell ref="O68:T68"/>
    <mergeCell ref="U68:Z68"/>
    <mergeCell ref="AA68:AF68"/>
    <mergeCell ref="A69:J69"/>
    <mergeCell ref="K69:N69"/>
    <mergeCell ref="O69:T69"/>
    <mergeCell ref="U69:Z69"/>
    <mergeCell ref="AA69:AF69"/>
    <mergeCell ref="A70:J70"/>
    <mergeCell ref="K70:N70"/>
    <mergeCell ref="O70:T70"/>
    <mergeCell ref="U70:Z70"/>
    <mergeCell ref="AA70:AF70"/>
    <mergeCell ref="A71:J71"/>
    <mergeCell ref="K71:N71"/>
    <mergeCell ref="O71:T71"/>
    <mergeCell ref="U71:Z71"/>
    <mergeCell ref="AA71:AF71"/>
    <mergeCell ref="A72:J72"/>
    <mergeCell ref="K72:N72"/>
    <mergeCell ref="O72:T72"/>
    <mergeCell ref="U72:Z72"/>
    <mergeCell ref="AA72:AF72"/>
    <mergeCell ref="A73:J73"/>
    <mergeCell ref="K73:N73"/>
    <mergeCell ref="O73:T73"/>
    <mergeCell ref="U73:Z73"/>
    <mergeCell ref="AA73:AF73"/>
    <mergeCell ref="A74:J74"/>
    <mergeCell ref="K74:N74"/>
    <mergeCell ref="O74:T74"/>
    <mergeCell ref="U74:Z74"/>
    <mergeCell ref="AA74:AF74"/>
    <mergeCell ref="A75:J75"/>
    <mergeCell ref="K75:N75"/>
    <mergeCell ref="O75:T75"/>
    <mergeCell ref="U75:Z75"/>
    <mergeCell ref="AA75:AF75"/>
    <mergeCell ref="A76:J76"/>
    <mergeCell ref="K76:N76"/>
    <mergeCell ref="O76:T76"/>
    <mergeCell ref="U76:Z76"/>
    <mergeCell ref="AA76:AF76"/>
    <mergeCell ref="A77:J77"/>
    <mergeCell ref="K77:N77"/>
    <mergeCell ref="O77:T77"/>
    <mergeCell ref="U77:Z77"/>
    <mergeCell ref="AA77:AF77"/>
    <mergeCell ref="A78:J78"/>
    <mergeCell ref="K78:N78"/>
    <mergeCell ref="O78:T78"/>
    <mergeCell ref="U78:Z78"/>
    <mergeCell ref="AA78:AF78"/>
    <mergeCell ref="A79:J79"/>
    <mergeCell ref="K79:N79"/>
    <mergeCell ref="O79:T79"/>
    <mergeCell ref="U79:Z79"/>
    <mergeCell ref="AA79:AF79"/>
    <mergeCell ref="A80:J80"/>
    <mergeCell ref="K80:N80"/>
    <mergeCell ref="O80:T80"/>
    <mergeCell ref="U80:Z80"/>
    <mergeCell ref="AA80:AF80"/>
    <mergeCell ref="A81:J81"/>
    <mergeCell ref="K81:N81"/>
    <mergeCell ref="O81:T81"/>
    <mergeCell ref="U81:Z81"/>
    <mergeCell ref="AA81:AF81"/>
    <mergeCell ref="A82:J82"/>
    <mergeCell ref="K82:N82"/>
    <mergeCell ref="O82:T82"/>
    <mergeCell ref="U82:Z82"/>
    <mergeCell ref="AA82:AF82"/>
    <mergeCell ref="A83:J83"/>
    <mergeCell ref="K83:N83"/>
    <mergeCell ref="O83:T83"/>
    <mergeCell ref="U83:Z83"/>
    <mergeCell ref="AA83:AF83"/>
    <mergeCell ref="A84:J84"/>
    <mergeCell ref="K84:N84"/>
    <mergeCell ref="O84:T84"/>
    <mergeCell ref="U84:Z84"/>
    <mergeCell ref="AA84:AF84"/>
    <mergeCell ref="A85:J85"/>
    <mergeCell ref="K85:N85"/>
    <mergeCell ref="O85:T85"/>
    <mergeCell ref="U85:Z85"/>
    <mergeCell ref="AA85:AF85"/>
    <mergeCell ref="A86:J86"/>
    <mergeCell ref="K86:N86"/>
    <mergeCell ref="O86:T86"/>
    <mergeCell ref="U86:Z86"/>
    <mergeCell ref="AA86:AF86"/>
    <mergeCell ref="A87:J87"/>
    <mergeCell ref="K87:N87"/>
    <mergeCell ref="O87:T87"/>
    <mergeCell ref="U87:Z87"/>
    <mergeCell ref="AA87:AF87"/>
    <mergeCell ref="A88:J88"/>
    <mergeCell ref="K88:N88"/>
    <mergeCell ref="O88:T88"/>
    <mergeCell ref="U88:Z88"/>
    <mergeCell ref="AA88:AF88"/>
    <mergeCell ref="A89:J89"/>
    <mergeCell ref="K89:N89"/>
    <mergeCell ref="O89:T89"/>
    <mergeCell ref="U89:Z89"/>
    <mergeCell ref="AA89:AF89"/>
    <mergeCell ref="A90:J90"/>
    <mergeCell ref="K90:N90"/>
    <mergeCell ref="O90:T90"/>
    <mergeCell ref="U90:Z90"/>
    <mergeCell ref="AA90:AF90"/>
    <mergeCell ref="A91:J91"/>
    <mergeCell ref="K91:N91"/>
    <mergeCell ref="O91:T91"/>
    <mergeCell ref="U91:Z91"/>
    <mergeCell ref="AA91:AF91"/>
    <mergeCell ref="A92:J92"/>
    <mergeCell ref="K92:N92"/>
    <mergeCell ref="O92:T92"/>
    <mergeCell ref="U92:Z92"/>
    <mergeCell ref="AA92:AF92"/>
    <mergeCell ref="A93:J93"/>
    <mergeCell ref="K93:N93"/>
    <mergeCell ref="O93:T93"/>
    <mergeCell ref="U93:Z93"/>
    <mergeCell ref="AA93:AF93"/>
    <mergeCell ref="A94:J94"/>
    <mergeCell ref="K94:N94"/>
    <mergeCell ref="O94:T94"/>
    <mergeCell ref="U94:Z94"/>
    <mergeCell ref="AA94:AF94"/>
    <mergeCell ref="A95:J95"/>
    <mergeCell ref="K95:N95"/>
    <mergeCell ref="O95:T95"/>
    <mergeCell ref="U95:Z95"/>
    <mergeCell ref="AA95:AF95"/>
    <mergeCell ref="A96:J96"/>
    <mergeCell ref="K96:N96"/>
    <mergeCell ref="O96:T96"/>
    <mergeCell ref="U96:Z96"/>
    <mergeCell ref="AA96:AF96"/>
    <mergeCell ref="A97:J97"/>
    <mergeCell ref="K97:N97"/>
    <mergeCell ref="O97:T97"/>
    <mergeCell ref="U97:Z97"/>
    <mergeCell ref="AA97:AF97"/>
    <mergeCell ref="A98:J98"/>
    <mergeCell ref="K98:N98"/>
    <mergeCell ref="O98:T98"/>
    <mergeCell ref="U98:Z98"/>
    <mergeCell ref="AA98:AF98"/>
    <mergeCell ref="A99:J99"/>
    <mergeCell ref="K99:N99"/>
    <mergeCell ref="O99:T99"/>
    <mergeCell ref="U99:Z99"/>
    <mergeCell ref="AA99:AF99"/>
    <mergeCell ref="A100:J100"/>
    <mergeCell ref="K100:N100"/>
    <mergeCell ref="O100:T100"/>
    <mergeCell ref="U100:Z100"/>
    <mergeCell ref="AA100:AF100"/>
    <mergeCell ref="A101:J101"/>
    <mergeCell ref="K101:N101"/>
    <mergeCell ref="O101:T101"/>
    <mergeCell ref="U101:Z101"/>
    <mergeCell ref="AA101:AF101"/>
    <mergeCell ref="A102:J102"/>
    <mergeCell ref="K102:N102"/>
    <mergeCell ref="O102:T102"/>
    <mergeCell ref="U102:Z102"/>
    <mergeCell ref="AA102:AF102"/>
    <mergeCell ref="A103:J103"/>
    <mergeCell ref="K103:N103"/>
    <mergeCell ref="O103:T103"/>
    <mergeCell ref="U103:Z103"/>
    <mergeCell ref="AA103:AF103"/>
    <mergeCell ref="A104:J104"/>
    <mergeCell ref="K104:N104"/>
    <mergeCell ref="O104:T104"/>
    <mergeCell ref="U104:Z104"/>
    <mergeCell ref="AA104:AF104"/>
    <mergeCell ref="A105:J105"/>
    <mergeCell ref="K105:N105"/>
    <mergeCell ref="O105:T105"/>
    <mergeCell ref="U105:Z105"/>
    <mergeCell ref="AA105:AF105"/>
    <mergeCell ref="A106:J106"/>
    <mergeCell ref="K106:N106"/>
    <mergeCell ref="O106:T106"/>
    <mergeCell ref="U106:Z106"/>
    <mergeCell ref="AA106:AF106"/>
    <mergeCell ref="A107:J107"/>
    <mergeCell ref="K107:N107"/>
    <mergeCell ref="O107:T107"/>
    <mergeCell ref="U107:Z107"/>
    <mergeCell ref="AA107:AF107"/>
    <mergeCell ref="A108:J108"/>
    <mergeCell ref="K108:N108"/>
    <mergeCell ref="O108:T108"/>
    <mergeCell ref="U108:Z108"/>
    <mergeCell ref="AA108:AF108"/>
    <mergeCell ref="A109:J109"/>
    <mergeCell ref="K109:N109"/>
    <mergeCell ref="O109:T109"/>
    <mergeCell ref="U109:Z109"/>
    <mergeCell ref="AA109:AF109"/>
    <mergeCell ref="A110:J110"/>
    <mergeCell ref="K110:N110"/>
    <mergeCell ref="O110:T110"/>
    <mergeCell ref="U110:Z110"/>
    <mergeCell ref="AA110:AF110"/>
    <mergeCell ref="A111:J111"/>
    <mergeCell ref="K111:N111"/>
    <mergeCell ref="O111:T111"/>
    <mergeCell ref="U111:Z111"/>
    <mergeCell ref="AA111:AF111"/>
    <mergeCell ref="A112:J112"/>
    <mergeCell ref="K112:N112"/>
    <mergeCell ref="O112:T112"/>
    <mergeCell ref="U112:Z112"/>
    <mergeCell ref="AA112:AF112"/>
    <mergeCell ref="A113:J113"/>
    <mergeCell ref="K113:N113"/>
    <mergeCell ref="O113:T113"/>
    <mergeCell ref="U113:Z113"/>
    <mergeCell ref="AA113:AF113"/>
    <mergeCell ref="A114:J114"/>
    <mergeCell ref="K114:N114"/>
    <mergeCell ref="O114:T114"/>
    <mergeCell ref="U114:Z114"/>
    <mergeCell ref="AA114:AF114"/>
    <mergeCell ref="A115:J115"/>
    <mergeCell ref="K115:N115"/>
    <mergeCell ref="O115:T115"/>
    <mergeCell ref="U115:Z115"/>
    <mergeCell ref="AA115:AF115"/>
    <mergeCell ref="A116:J116"/>
    <mergeCell ref="K116:N116"/>
    <mergeCell ref="O116:T116"/>
    <mergeCell ref="U116:Z116"/>
    <mergeCell ref="AA116:AF116"/>
    <mergeCell ref="A117:J117"/>
    <mergeCell ref="K117:N117"/>
    <mergeCell ref="O117:T117"/>
    <mergeCell ref="U117:Z117"/>
    <mergeCell ref="AA117:AF117"/>
    <mergeCell ref="A120:J120"/>
    <mergeCell ref="K120:N120"/>
    <mergeCell ref="O120:T120"/>
    <mergeCell ref="U120:Z120"/>
    <mergeCell ref="AA120:AF120"/>
    <mergeCell ref="A118:J118"/>
    <mergeCell ref="K118:N118"/>
    <mergeCell ref="O118:T118"/>
    <mergeCell ref="U118:Z118"/>
    <mergeCell ref="AA118:AF118"/>
    <mergeCell ref="A119:J119"/>
    <mergeCell ref="K119:N119"/>
    <mergeCell ref="O119:T119"/>
    <mergeCell ref="U119:Z119"/>
    <mergeCell ref="AA119:AF119"/>
  </mergeCells>
  <conditionalFormatting sqref="A9:A120">
    <cfRule type="cellIs" dxfId="1" priority="1" stopIfTrue="1" operator="equal">
      <formula>#REF!</formula>
    </cfRule>
  </conditionalFormatting>
  <conditionalFormatting sqref="K9:K120 O9:O120 U9:U120 AA9:AA120">
    <cfRule type="cellIs" dxfId="0" priority="2" stopIfTrue="1" operator="equal">
      <formula>#REF!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91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22"/>
  <sheetViews>
    <sheetView zoomScaleNormal="100" workbookViewId="0">
      <selection activeCell="G22" sqref="G22"/>
    </sheetView>
  </sheetViews>
  <sheetFormatPr defaultColWidth="9.140625" defaultRowHeight="12.75" x14ac:dyDescent="0.2"/>
  <cols>
    <col min="1" max="1" width="3.7109375" style="20" customWidth="1"/>
    <col min="2" max="2" width="9.140625" style="20"/>
    <col min="3" max="3" width="8.42578125" style="20" customWidth="1"/>
    <col min="4" max="4" width="22.85546875" style="20" customWidth="1"/>
    <col min="5" max="5" width="25.5703125" style="20" customWidth="1"/>
    <col min="6" max="6" width="10.85546875" style="20" customWidth="1"/>
    <col min="7" max="7" width="11.140625" style="20" customWidth="1"/>
    <col min="8" max="8" width="16.7109375" style="20" customWidth="1"/>
    <col min="9" max="9" width="9.140625" style="20"/>
    <col min="10" max="10" width="11.140625" style="20" customWidth="1"/>
    <col min="11" max="11" width="13" style="20" customWidth="1"/>
    <col min="12" max="16384" width="9.140625" style="20"/>
  </cols>
  <sheetData>
    <row r="1" spans="1:11" ht="48.75" customHeight="1" x14ac:dyDescent="0.2">
      <c r="J1" s="1011"/>
      <c r="K1" s="1011"/>
    </row>
    <row r="2" spans="1:11" ht="24.95" customHeight="1" x14ac:dyDescent="0.2">
      <c r="A2" s="1012" t="s">
        <v>23</v>
      </c>
      <c r="B2" s="1012" t="s">
        <v>26</v>
      </c>
      <c r="C2" s="1012"/>
      <c r="D2" s="1012"/>
      <c r="E2" s="1014" t="s">
        <v>50</v>
      </c>
      <c r="F2" s="1014"/>
      <c r="G2" s="1014"/>
      <c r="H2" s="1014" t="s">
        <v>51</v>
      </c>
      <c r="I2" s="1014"/>
      <c r="J2" s="1014"/>
      <c r="K2" s="21" t="s">
        <v>13</v>
      </c>
    </row>
    <row r="3" spans="1:11" ht="24.95" customHeight="1" x14ac:dyDescent="0.2">
      <c r="A3" s="1012"/>
      <c r="B3" s="1012"/>
      <c r="C3" s="1012"/>
      <c r="D3" s="1012"/>
      <c r="E3" s="1012" t="s">
        <v>27</v>
      </c>
      <c r="F3" s="1012" t="s">
        <v>28</v>
      </c>
      <c r="G3" s="1012" t="s">
        <v>515</v>
      </c>
      <c r="H3" s="1012" t="s">
        <v>27</v>
      </c>
      <c r="I3" s="1012" t="s">
        <v>28</v>
      </c>
      <c r="J3" s="1012" t="s">
        <v>515</v>
      </c>
      <c r="K3" s="1013" t="s">
        <v>343</v>
      </c>
    </row>
    <row r="4" spans="1:11" ht="24.95" customHeight="1" x14ac:dyDescent="0.2">
      <c r="A4" s="1012"/>
      <c r="B4" s="1012"/>
      <c r="C4" s="1012"/>
      <c r="D4" s="1012"/>
      <c r="E4" s="1012"/>
      <c r="F4" s="1012"/>
      <c r="G4" s="1012"/>
      <c r="H4" s="1012"/>
      <c r="I4" s="1012"/>
      <c r="J4" s="1012"/>
      <c r="K4" s="1013"/>
    </row>
    <row r="5" spans="1:11" ht="24.95" customHeight="1" x14ac:dyDescent="0.2">
      <c r="A5" s="37" t="s">
        <v>34</v>
      </c>
      <c r="B5" s="1022" t="s">
        <v>52</v>
      </c>
      <c r="C5" s="1023"/>
      <c r="D5" s="1024"/>
      <c r="E5" s="37"/>
      <c r="F5" s="37"/>
      <c r="G5" s="37"/>
      <c r="H5" s="37"/>
      <c r="I5" s="37"/>
      <c r="J5" s="37"/>
      <c r="K5" s="38"/>
    </row>
    <row r="6" spans="1:11" ht="50.1" customHeight="1" x14ac:dyDescent="0.2">
      <c r="A6" s="22" t="s">
        <v>3</v>
      </c>
      <c r="B6" s="1016" t="s">
        <v>29</v>
      </c>
      <c r="C6" s="1017"/>
      <c r="D6" s="1017"/>
      <c r="E6" s="27" t="s">
        <v>57</v>
      </c>
      <c r="F6" s="51" t="s">
        <v>56</v>
      </c>
      <c r="G6" s="53">
        <v>6397160</v>
      </c>
      <c r="H6" s="25" t="s">
        <v>39</v>
      </c>
      <c r="I6" s="25" t="s">
        <v>39</v>
      </c>
      <c r="J6" s="25"/>
      <c r="K6" s="53">
        <v>6397160</v>
      </c>
    </row>
    <row r="7" spans="1:11" ht="30" customHeight="1" x14ac:dyDescent="0.2">
      <c r="A7" s="22" t="s">
        <v>10</v>
      </c>
      <c r="B7" s="1016" t="s">
        <v>30</v>
      </c>
      <c r="C7" s="1017"/>
      <c r="D7" s="1017"/>
      <c r="E7" s="25" t="s">
        <v>39</v>
      </c>
      <c r="F7" s="25" t="s">
        <v>39</v>
      </c>
      <c r="G7" s="25" t="s">
        <v>39</v>
      </c>
      <c r="H7" s="25" t="s">
        <v>39</v>
      </c>
      <c r="I7" s="25" t="s">
        <v>39</v>
      </c>
      <c r="J7" s="25" t="s">
        <v>39</v>
      </c>
      <c r="K7" s="25" t="s">
        <v>39</v>
      </c>
    </row>
    <row r="8" spans="1:11" ht="30" customHeight="1" x14ac:dyDescent="0.2">
      <c r="A8" s="22" t="s">
        <v>11</v>
      </c>
      <c r="B8" s="1016" t="s">
        <v>31</v>
      </c>
      <c r="C8" s="1017"/>
      <c r="D8" s="1017"/>
      <c r="E8" s="25" t="s">
        <v>1973</v>
      </c>
      <c r="F8" s="29">
        <v>0.3</v>
      </c>
      <c r="G8" s="53">
        <v>11173950</v>
      </c>
      <c r="H8" s="25" t="s">
        <v>39</v>
      </c>
      <c r="I8" s="25" t="s">
        <v>39</v>
      </c>
      <c r="J8" s="25" t="s">
        <v>39</v>
      </c>
      <c r="K8" s="53">
        <f>SUM(G8)</f>
        <v>11173950</v>
      </c>
    </row>
    <row r="9" spans="1:11" ht="57" customHeight="1" x14ac:dyDescent="0.2">
      <c r="A9" s="22" t="s">
        <v>12</v>
      </c>
      <c r="B9" s="1016" t="s">
        <v>32</v>
      </c>
      <c r="C9" s="1017"/>
      <c r="D9" s="1017"/>
      <c r="E9" s="784" t="s">
        <v>1974</v>
      </c>
      <c r="F9" s="29">
        <v>0.25</v>
      </c>
      <c r="G9" s="785">
        <v>300000</v>
      </c>
      <c r="H9" s="784" t="s">
        <v>1975</v>
      </c>
      <c r="I9" s="29">
        <v>1</v>
      </c>
      <c r="J9" s="787">
        <v>360000</v>
      </c>
      <c r="K9" s="53">
        <v>360000</v>
      </c>
    </row>
    <row r="10" spans="1:11" ht="33" customHeight="1" x14ac:dyDescent="0.2">
      <c r="A10" s="22" t="s">
        <v>7</v>
      </c>
      <c r="B10" s="1016" t="s">
        <v>33</v>
      </c>
      <c r="C10" s="1017"/>
      <c r="D10" s="1017"/>
      <c r="E10" s="26" t="s">
        <v>44</v>
      </c>
      <c r="F10" s="27" t="s">
        <v>48</v>
      </c>
      <c r="G10" s="786">
        <v>872005</v>
      </c>
      <c r="H10" s="26" t="s">
        <v>47</v>
      </c>
      <c r="I10" s="30">
        <v>1</v>
      </c>
      <c r="J10" s="786">
        <v>316664</v>
      </c>
      <c r="K10" s="53">
        <f>SUM(G10+J10)</f>
        <v>1188669</v>
      </c>
    </row>
    <row r="11" spans="1:11" ht="33" customHeight="1" x14ac:dyDescent="0.2">
      <c r="A11" s="22"/>
      <c r="B11" s="1021" t="s">
        <v>215</v>
      </c>
      <c r="C11" s="1021"/>
      <c r="D11" s="1021"/>
      <c r="E11" s="34"/>
      <c r="F11" s="35"/>
      <c r="G11" s="52">
        <f>SUM(G5:G10)</f>
        <v>18743115</v>
      </c>
      <c r="H11" s="34"/>
      <c r="I11" s="36"/>
      <c r="J11" s="52">
        <f>SUM(J6:J10)</f>
        <v>676664</v>
      </c>
      <c r="K11" s="102">
        <f>SUM(K6:K10)</f>
        <v>19119779</v>
      </c>
    </row>
    <row r="12" spans="1:11" ht="33" customHeight="1" x14ac:dyDescent="0.2">
      <c r="A12" s="22" t="s">
        <v>21</v>
      </c>
      <c r="B12" s="1016" t="s">
        <v>639</v>
      </c>
      <c r="C12" s="1017"/>
      <c r="D12" s="1017"/>
      <c r="E12" s="26"/>
      <c r="F12" s="103"/>
      <c r="G12" s="28">
        <v>0</v>
      </c>
      <c r="H12" s="26"/>
      <c r="I12" s="30"/>
      <c r="J12" s="786"/>
      <c r="K12" s="53">
        <v>0</v>
      </c>
    </row>
    <row r="13" spans="1:11" ht="33" customHeight="1" x14ac:dyDescent="0.2">
      <c r="A13" s="33"/>
      <c r="B13" s="1018" t="s">
        <v>220</v>
      </c>
      <c r="C13" s="1019"/>
      <c r="D13" s="1020"/>
      <c r="E13" s="34"/>
      <c r="F13" s="35"/>
      <c r="G13" s="52">
        <f>SUM(G11:G12)</f>
        <v>18743115</v>
      </c>
      <c r="H13" s="34"/>
      <c r="I13" s="36"/>
      <c r="J13" s="52">
        <f>SUM(J11:J12)</f>
        <v>676664</v>
      </c>
      <c r="K13" s="52">
        <f>SUM(K11:K12)</f>
        <v>19119779</v>
      </c>
    </row>
    <row r="14" spans="1:11" x14ac:dyDescent="0.2">
      <c r="B14" s="1015"/>
      <c r="C14" s="1015"/>
      <c r="D14" s="1015"/>
    </row>
    <row r="22" spans="4:4" x14ac:dyDescent="0.2">
      <c r="D22" s="32"/>
    </row>
  </sheetData>
  <mergeCells count="22">
    <mergeCell ref="B2:D4"/>
    <mergeCell ref="B5:D5"/>
    <mergeCell ref="F3:F4"/>
    <mergeCell ref="G3:G4"/>
    <mergeCell ref="A2:A4"/>
    <mergeCell ref="B14:D14"/>
    <mergeCell ref="B9:D9"/>
    <mergeCell ref="B10:D10"/>
    <mergeCell ref="B6:D6"/>
    <mergeCell ref="B7:D7"/>
    <mergeCell ref="B13:D13"/>
    <mergeCell ref="B8:D8"/>
    <mergeCell ref="B11:D11"/>
    <mergeCell ref="B12:D12"/>
    <mergeCell ref="J1:K1"/>
    <mergeCell ref="J3:J4"/>
    <mergeCell ref="K3:K4"/>
    <mergeCell ref="E2:G2"/>
    <mergeCell ref="H2:J2"/>
    <mergeCell ref="E3:E4"/>
    <mergeCell ref="H3:H4"/>
    <mergeCell ref="I3:I4"/>
  </mergeCells>
  <phoneticPr fontId="8" type="noConversion"/>
  <printOptions horizontalCentered="1"/>
  <pageMargins left="0.23622047244094491" right="0.23622047244094491" top="1.1417322834645669" bottom="0.19685039370078741" header="0.35433070866141736" footer="0.19685039370078741"/>
  <pageSetup paperSize="9" orientation="landscape" horizontalDpi="4294967294" r:id="rId1"/>
  <headerFooter alignWithMargins="0">
    <oddHeader>&amp;C&amp;"Garamond,Félkövér"&amp;14 11/2019 (V.17.) számú költségvetési rendelethez
ZALAKAROS VÁROS ÖNKORMÁNYZATA
2018.ÉVI KÖZVETETT TÁMOGATÁSAI
&amp;R&amp;A
&amp;P.oldal
forintban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5"/>
  <sheetViews>
    <sheetView view="pageLayout" topLeftCell="A16" zoomScaleNormal="100" zoomScaleSheetLayoutView="70" workbookViewId="0">
      <selection activeCell="E24" sqref="E24:H25"/>
    </sheetView>
  </sheetViews>
  <sheetFormatPr defaultRowHeight="15" x14ac:dyDescent="0.25"/>
  <cols>
    <col min="1" max="1" width="6.7109375" style="623" customWidth="1"/>
    <col min="2" max="3" width="9.140625" style="623"/>
    <col min="4" max="4" width="29.28515625" style="623" customWidth="1"/>
    <col min="5" max="5" width="16.5703125" style="623" customWidth="1"/>
    <col min="6" max="6" width="19" style="623" customWidth="1"/>
    <col min="7" max="7" width="14" style="623" customWidth="1"/>
    <col min="8" max="8" width="15.7109375" style="623" customWidth="1"/>
    <col min="9" max="9" width="15.5703125" style="623" customWidth="1"/>
    <col min="10" max="256" width="9.140625" style="623"/>
    <col min="257" max="257" width="6.7109375" style="623" customWidth="1"/>
    <col min="258" max="259" width="9.140625" style="623"/>
    <col min="260" max="260" width="29.28515625" style="623" customWidth="1"/>
    <col min="261" max="261" width="16.5703125" style="623" customWidth="1"/>
    <col min="262" max="262" width="19" style="623" customWidth="1"/>
    <col min="263" max="263" width="14" style="623" customWidth="1"/>
    <col min="264" max="264" width="15.7109375" style="623" customWidth="1"/>
    <col min="265" max="265" width="14.42578125" style="623" customWidth="1"/>
    <col min="266" max="512" width="9.140625" style="623"/>
    <col min="513" max="513" width="6.7109375" style="623" customWidth="1"/>
    <col min="514" max="515" width="9.140625" style="623"/>
    <col min="516" max="516" width="29.28515625" style="623" customWidth="1"/>
    <col min="517" max="517" width="16.5703125" style="623" customWidth="1"/>
    <col min="518" max="518" width="19" style="623" customWidth="1"/>
    <col min="519" max="519" width="14" style="623" customWidth="1"/>
    <col min="520" max="520" width="15.7109375" style="623" customWidth="1"/>
    <col min="521" max="521" width="14.42578125" style="623" customWidth="1"/>
    <col min="522" max="768" width="9.140625" style="623"/>
    <col min="769" max="769" width="6.7109375" style="623" customWidth="1"/>
    <col min="770" max="771" width="9.140625" style="623"/>
    <col min="772" max="772" width="29.28515625" style="623" customWidth="1"/>
    <col min="773" max="773" width="16.5703125" style="623" customWidth="1"/>
    <col min="774" max="774" width="19" style="623" customWidth="1"/>
    <col min="775" max="775" width="14" style="623" customWidth="1"/>
    <col min="776" max="776" width="15.7109375" style="623" customWidth="1"/>
    <col min="777" max="777" width="14.42578125" style="623" customWidth="1"/>
    <col min="778" max="1024" width="9.140625" style="623"/>
    <col min="1025" max="1025" width="6.7109375" style="623" customWidth="1"/>
    <col min="1026" max="1027" width="9.140625" style="623"/>
    <col min="1028" max="1028" width="29.28515625" style="623" customWidth="1"/>
    <col min="1029" max="1029" width="16.5703125" style="623" customWidth="1"/>
    <col min="1030" max="1030" width="19" style="623" customWidth="1"/>
    <col min="1031" max="1031" width="14" style="623" customWidth="1"/>
    <col min="1032" max="1032" width="15.7109375" style="623" customWidth="1"/>
    <col min="1033" max="1033" width="14.42578125" style="623" customWidth="1"/>
    <col min="1034" max="1280" width="9.140625" style="623"/>
    <col min="1281" max="1281" width="6.7109375" style="623" customWidth="1"/>
    <col min="1282" max="1283" width="9.140625" style="623"/>
    <col min="1284" max="1284" width="29.28515625" style="623" customWidth="1"/>
    <col min="1285" max="1285" width="16.5703125" style="623" customWidth="1"/>
    <col min="1286" max="1286" width="19" style="623" customWidth="1"/>
    <col min="1287" max="1287" width="14" style="623" customWidth="1"/>
    <col min="1288" max="1288" width="15.7109375" style="623" customWidth="1"/>
    <col min="1289" max="1289" width="14.42578125" style="623" customWidth="1"/>
    <col min="1290" max="1536" width="9.140625" style="623"/>
    <col min="1537" max="1537" width="6.7109375" style="623" customWidth="1"/>
    <col min="1538" max="1539" width="9.140625" style="623"/>
    <col min="1540" max="1540" width="29.28515625" style="623" customWidth="1"/>
    <col min="1541" max="1541" width="16.5703125" style="623" customWidth="1"/>
    <col min="1542" max="1542" width="19" style="623" customWidth="1"/>
    <col min="1543" max="1543" width="14" style="623" customWidth="1"/>
    <col min="1544" max="1544" width="15.7109375" style="623" customWidth="1"/>
    <col min="1545" max="1545" width="14.42578125" style="623" customWidth="1"/>
    <col min="1546" max="1792" width="9.140625" style="623"/>
    <col min="1793" max="1793" width="6.7109375" style="623" customWidth="1"/>
    <col min="1794" max="1795" width="9.140625" style="623"/>
    <col min="1796" max="1796" width="29.28515625" style="623" customWidth="1"/>
    <col min="1797" max="1797" width="16.5703125" style="623" customWidth="1"/>
    <col min="1798" max="1798" width="19" style="623" customWidth="1"/>
    <col min="1799" max="1799" width="14" style="623" customWidth="1"/>
    <col min="1800" max="1800" width="15.7109375" style="623" customWidth="1"/>
    <col min="1801" max="1801" width="14.42578125" style="623" customWidth="1"/>
    <col min="1802" max="2048" width="9.140625" style="623"/>
    <col min="2049" max="2049" width="6.7109375" style="623" customWidth="1"/>
    <col min="2050" max="2051" width="9.140625" style="623"/>
    <col min="2052" max="2052" width="29.28515625" style="623" customWidth="1"/>
    <col min="2053" max="2053" width="16.5703125" style="623" customWidth="1"/>
    <col min="2054" max="2054" width="19" style="623" customWidth="1"/>
    <col min="2055" max="2055" width="14" style="623" customWidth="1"/>
    <col min="2056" max="2056" width="15.7109375" style="623" customWidth="1"/>
    <col min="2057" max="2057" width="14.42578125" style="623" customWidth="1"/>
    <col min="2058" max="2304" width="9.140625" style="623"/>
    <col min="2305" max="2305" width="6.7109375" style="623" customWidth="1"/>
    <col min="2306" max="2307" width="9.140625" style="623"/>
    <col min="2308" max="2308" width="29.28515625" style="623" customWidth="1"/>
    <col min="2309" max="2309" width="16.5703125" style="623" customWidth="1"/>
    <col min="2310" max="2310" width="19" style="623" customWidth="1"/>
    <col min="2311" max="2311" width="14" style="623" customWidth="1"/>
    <col min="2312" max="2312" width="15.7109375" style="623" customWidth="1"/>
    <col min="2313" max="2313" width="14.42578125" style="623" customWidth="1"/>
    <col min="2314" max="2560" width="9.140625" style="623"/>
    <col min="2561" max="2561" width="6.7109375" style="623" customWidth="1"/>
    <col min="2562" max="2563" width="9.140625" style="623"/>
    <col min="2564" max="2564" width="29.28515625" style="623" customWidth="1"/>
    <col min="2565" max="2565" width="16.5703125" style="623" customWidth="1"/>
    <col min="2566" max="2566" width="19" style="623" customWidth="1"/>
    <col min="2567" max="2567" width="14" style="623" customWidth="1"/>
    <col min="2568" max="2568" width="15.7109375" style="623" customWidth="1"/>
    <col min="2569" max="2569" width="14.42578125" style="623" customWidth="1"/>
    <col min="2570" max="2816" width="9.140625" style="623"/>
    <col min="2817" max="2817" width="6.7109375" style="623" customWidth="1"/>
    <col min="2818" max="2819" width="9.140625" style="623"/>
    <col min="2820" max="2820" width="29.28515625" style="623" customWidth="1"/>
    <col min="2821" max="2821" width="16.5703125" style="623" customWidth="1"/>
    <col min="2822" max="2822" width="19" style="623" customWidth="1"/>
    <col min="2823" max="2823" width="14" style="623" customWidth="1"/>
    <col min="2824" max="2824" width="15.7109375" style="623" customWidth="1"/>
    <col min="2825" max="2825" width="14.42578125" style="623" customWidth="1"/>
    <col min="2826" max="3072" width="9.140625" style="623"/>
    <col min="3073" max="3073" width="6.7109375" style="623" customWidth="1"/>
    <col min="3074" max="3075" width="9.140625" style="623"/>
    <col min="3076" max="3076" width="29.28515625" style="623" customWidth="1"/>
    <col min="3077" max="3077" width="16.5703125" style="623" customWidth="1"/>
    <col min="3078" max="3078" width="19" style="623" customWidth="1"/>
    <col min="3079" max="3079" width="14" style="623" customWidth="1"/>
    <col min="3080" max="3080" width="15.7109375" style="623" customWidth="1"/>
    <col min="3081" max="3081" width="14.42578125" style="623" customWidth="1"/>
    <col min="3082" max="3328" width="9.140625" style="623"/>
    <col min="3329" max="3329" width="6.7109375" style="623" customWidth="1"/>
    <col min="3330" max="3331" width="9.140625" style="623"/>
    <col min="3332" max="3332" width="29.28515625" style="623" customWidth="1"/>
    <col min="3333" max="3333" width="16.5703125" style="623" customWidth="1"/>
    <col min="3334" max="3334" width="19" style="623" customWidth="1"/>
    <col min="3335" max="3335" width="14" style="623" customWidth="1"/>
    <col min="3336" max="3336" width="15.7109375" style="623" customWidth="1"/>
    <col min="3337" max="3337" width="14.42578125" style="623" customWidth="1"/>
    <col min="3338" max="3584" width="9.140625" style="623"/>
    <col min="3585" max="3585" width="6.7109375" style="623" customWidth="1"/>
    <col min="3586" max="3587" width="9.140625" style="623"/>
    <col min="3588" max="3588" width="29.28515625" style="623" customWidth="1"/>
    <col min="3589" max="3589" width="16.5703125" style="623" customWidth="1"/>
    <col min="3590" max="3590" width="19" style="623" customWidth="1"/>
    <col min="3591" max="3591" width="14" style="623" customWidth="1"/>
    <col min="3592" max="3592" width="15.7109375" style="623" customWidth="1"/>
    <col min="3593" max="3593" width="14.42578125" style="623" customWidth="1"/>
    <col min="3594" max="3840" width="9.140625" style="623"/>
    <col min="3841" max="3841" width="6.7109375" style="623" customWidth="1"/>
    <col min="3842" max="3843" width="9.140625" style="623"/>
    <col min="3844" max="3844" width="29.28515625" style="623" customWidth="1"/>
    <col min="3845" max="3845" width="16.5703125" style="623" customWidth="1"/>
    <col min="3846" max="3846" width="19" style="623" customWidth="1"/>
    <col min="3847" max="3847" width="14" style="623" customWidth="1"/>
    <col min="3848" max="3848" width="15.7109375" style="623" customWidth="1"/>
    <col min="3849" max="3849" width="14.42578125" style="623" customWidth="1"/>
    <col min="3850" max="4096" width="9.140625" style="623"/>
    <col min="4097" max="4097" width="6.7109375" style="623" customWidth="1"/>
    <col min="4098" max="4099" width="9.140625" style="623"/>
    <col min="4100" max="4100" width="29.28515625" style="623" customWidth="1"/>
    <col min="4101" max="4101" width="16.5703125" style="623" customWidth="1"/>
    <col min="4102" max="4102" width="19" style="623" customWidth="1"/>
    <col min="4103" max="4103" width="14" style="623" customWidth="1"/>
    <col min="4104" max="4104" width="15.7109375" style="623" customWidth="1"/>
    <col min="4105" max="4105" width="14.42578125" style="623" customWidth="1"/>
    <col min="4106" max="4352" width="9.140625" style="623"/>
    <col min="4353" max="4353" width="6.7109375" style="623" customWidth="1"/>
    <col min="4354" max="4355" width="9.140625" style="623"/>
    <col min="4356" max="4356" width="29.28515625" style="623" customWidth="1"/>
    <col min="4357" max="4357" width="16.5703125" style="623" customWidth="1"/>
    <col min="4358" max="4358" width="19" style="623" customWidth="1"/>
    <col min="4359" max="4359" width="14" style="623" customWidth="1"/>
    <col min="4360" max="4360" width="15.7109375" style="623" customWidth="1"/>
    <col min="4361" max="4361" width="14.42578125" style="623" customWidth="1"/>
    <col min="4362" max="4608" width="9.140625" style="623"/>
    <col min="4609" max="4609" width="6.7109375" style="623" customWidth="1"/>
    <col min="4610" max="4611" width="9.140625" style="623"/>
    <col min="4612" max="4612" width="29.28515625" style="623" customWidth="1"/>
    <col min="4613" max="4613" width="16.5703125" style="623" customWidth="1"/>
    <col min="4614" max="4614" width="19" style="623" customWidth="1"/>
    <col min="4615" max="4615" width="14" style="623" customWidth="1"/>
    <col min="4616" max="4616" width="15.7109375" style="623" customWidth="1"/>
    <col min="4617" max="4617" width="14.42578125" style="623" customWidth="1"/>
    <col min="4618" max="4864" width="9.140625" style="623"/>
    <col min="4865" max="4865" width="6.7109375" style="623" customWidth="1"/>
    <col min="4866" max="4867" width="9.140625" style="623"/>
    <col min="4868" max="4868" width="29.28515625" style="623" customWidth="1"/>
    <col min="4869" max="4869" width="16.5703125" style="623" customWidth="1"/>
    <col min="4870" max="4870" width="19" style="623" customWidth="1"/>
    <col min="4871" max="4871" width="14" style="623" customWidth="1"/>
    <col min="4872" max="4872" width="15.7109375" style="623" customWidth="1"/>
    <col min="4873" max="4873" width="14.42578125" style="623" customWidth="1"/>
    <col min="4874" max="5120" width="9.140625" style="623"/>
    <col min="5121" max="5121" width="6.7109375" style="623" customWidth="1"/>
    <col min="5122" max="5123" width="9.140625" style="623"/>
    <col min="5124" max="5124" width="29.28515625" style="623" customWidth="1"/>
    <col min="5125" max="5125" width="16.5703125" style="623" customWidth="1"/>
    <col min="5126" max="5126" width="19" style="623" customWidth="1"/>
    <col min="5127" max="5127" width="14" style="623" customWidth="1"/>
    <col min="5128" max="5128" width="15.7109375" style="623" customWidth="1"/>
    <col min="5129" max="5129" width="14.42578125" style="623" customWidth="1"/>
    <col min="5130" max="5376" width="9.140625" style="623"/>
    <col min="5377" max="5377" width="6.7109375" style="623" customWidth="1"/>
    <col min="5378" max="5379" width="9.140625" style="623"/>
    <col min="5380" max="5380" width="29.28515625" style="623" customWidth="1"/>
    <col min="5381" max="5381" width="16.5703125" style="623" customWidth="1"/>
    <col min="5382" max="5382" width="19" style="623" customWidth="1"/>
    <col min="5383" max="5383" width="14" style="623" customWidth="1"/>
    <col min="5384" max="5384" width="15.7109375" style="623" customWidth="1"/>
    <col min="5385" max="5385" width="14.42578125" style="623" customWidth="1"/>
    <col min="5386" max="5632" width="9.140625" style="623"/>
    <col min="5633" max="5633" width="6.7109375" style="623" customWidth="1"/>
    <col min="5634" max="5635" width="9.140625" style="623"/>
    <col min="5636" max="5636" width="29.28515625" style="623" customWidth="1"/>
    <col min="5637" max="5637" width="16.5703125" style="623" customWidth="1"/>
    <col min="5638" max="5638" width="19" style="623" customWidth="1"/>
    <col min="5639" max="5639" width="14" style="623" customWidth="1"/>
    <col min="5640" max="5640" width="15.7109375" style="623" customWidth="1"/>
    <col min="5641" max="5641" width="14.42578125" style="623" customWidth="1"/>
    <col min="5642" max="5888" width="9.140625" style="623"/>
    <col min="5889" max="5889" width="6.7109375" style="623" customWidth="1"/>
    <col min="5890" max="5891" width="9.140625" style="623"/>
    <col min="5892" max="5892" width="29.28515625" style="623" customWidth="1"/>
    <col min="5893" max="5893" width="16.5703125" style="623" customWidth="1"/>
    <col min="5894" max="5894" width="19" style="623" customWidth="1"/>
    <col min="5895" max="5895" width="14" style="623" customWidth="1"/>
    <col min="5896" max="5896" width="15.7109375" style="623" customWidth="1"/>
    <col min="5897" max="5897" width="14.42578125" style="623" customWidth="1"/>
    <col min="5898" max="6144" width="9.140625" style="623"/>
    <col min="6145" max="6145" width="6.7109375" style="623" customWidth="1"/>
    <col min="6146" max="6147" width="9.140625" style="623"/>
    <col min="6148" max="6148" width="29.28515625" style="623" customWidth="1"/>
    <col min="6149" max="6149" width="16.5703125" style="623" customWidth="1"/>
    <col min="6150" max="6150" width="19" style="623" customWidth="1"/>
    <col min="6151" max="6151" width="14" style="623" customWidth="1"/>
    <col min="6152" max="6152" width="15.7109375" style="623" customWidth="1"/>
    <col min="6153" max="6153" width="14.42578125" style="623" customWidth="1"/>
    <col min="6154" max="6400" width="9.140625" style="623"/>
    <col min="6401" max="6401" width="6.7109375" style="623" customWidth="1"/>
    <col min="6402" max="6403" width="9.140625" style="623"/>
    <col min="6404" max="6404" width="29.28515625" style="623" customWidth="1"/>
    <col min="6405" max="6405" width="16.5703125" style="623" customWidth="1"/>
    <col min="6406" max="6406" width="19" style="623" customWidth="1"/>
    <col min="6407" max="6407" width="14" style="623" customWidth="1"/>
    <col min="6408" max="6408" width="15.7109375" style="623" customWidth="1"/>
    <col min="6409" max="6409" width="14.42578125" style="623" customWidth="1"/>
    <col min="6410" max="6656" width="9.140625" style="623"/>
    <col min="6657" max="6657" width="6.7109375" style="623" customWidth="1"/>
    <col min="6658" max="6659" width="9.140625" style="623"/>
    <col min="6660" max="6660" width="29.28515625" style="623" customWidth="1"/>
    <col min="6661" max="6661" width="16.5703125" style="623" customWidth="1"/>
    <col min="6662" max="6662" width="19" style="623" customWidth="1"/>
    <col min="6663" max="6663" width="14" style="623" customWidth="1"/>
    <col min="6664" max="6664" width="15.7109375" style="623" customWidth="1"/>
    <col min="6665" max="6665" width="14.42578125" style="623" customWidth="1"/>
    <col min="6666" max="6912" width="9.140625" style="623"/>
    <col min="6913" max="6913" width="6.7109375" style="623" customWidth="1"/>
    <col min="6914" max="6915" width="9.140625" style="623"/>
    <col min="6916" max="6916" width="29.28515625" style="623" customWidth="1"/>
    <col min="6917" max="6917" width="16.5703125" style="623" customWidth="1"/>
    <col min="6918" max="6918" width="19" style="623" customWidth="1"/>
    <col min="6919" max="6919" width="14" style="623" customWidth="1"/>
    <col min="6920" max="6920" width="15.7109375" style="623" customWidth="1"/>
    <col min="6921" max="6921" width="14.42578125" style="623" customWidth="1"/>
    <col min="6922" max="7168" width="9.140625" style="623"/>
    <col min="7169" max="7169" width="6.7109375" style="623" customWidth="1"/>
    <col min="7170" max="7171" width="9.140625" style="623"/>
    <col min="7172" max="7172" width="29.28515625" style="623" customWidth="1"/>
    <col min="7173" max="7173" width="16.5703125" style="623" customWidth="1"/>
    <col min="7174" max="7174" width="19" style="623" customWidth="1"/>
    <col min="7175" max="7175" width="14" style="623" customWidth="1"/>
    <col min="7176" max="7176" width="15.7109375" style="623" customWidth="1"/>
    <col min="7177" max="7177" width="14.42578125" style="623" customWidth="1"/>
    <col min="7178" max="7424" width="9.140625" style="623"/>
    <col min="7425" max="7425" width="6.7109375" style="623" customWidth="1"/>
    <col min="7426" max="7427" width="9.140625" style="623"/>
    <col min="7428" max="7428" width="29.28515625" style="623" customWidth="1"/>
    <col min="7429" max="7429" width="16.5703125" style="623" customWidth="1"/>
    <col min="7430" max="7430" width="19" style="623" customWidth="1"/>
    <col min="7431" max="7431" width="14" style="623" customWidth="1"/>
    <col min="7432" max="7432" width="15.7109375" style="623" customWidth="1"/>
    <col min="7433" max="7433" width="14.42578125" style="623" customWidth="1"/>
    <col min="7434" max="7680" width="9.140625" style="623"/>
    <col min="7681" max="7681" width="6.7109375" style="623" customWidth="1"/>
    <col min="7682" max="7683" width="9.140625" style="623"/>
    <col min="7684" max="7684" width="29.28515625" style="623" customWidth="1"/>
    <col min="7685" max="7685" width="16.5703125" style="623" customWidth="1"/>
    <col min="7686" max="7686" width="19" style="623" customWidth="1"/>
    <col min="7687" max="7687" width="14" style="623" customWidth="1"/>
    <col min="7688" max="7688" width="15.7109375" style="623" customWidth="1"/>
    <col min="7689" max="7689" width="14.42578125" style="623" customWidth="1"/>
    <col min="7690" max="7936" width="9.140625" style="623"/>
    <col min="7937" max="7937" width="6.7109375" style="623" customWidth="1"/>
    <col min="7938" max="7939" width="9.140625" style="623"/>
    <col min="7940" max="7940" width="29.28515625" style="623" customWidth="1"/>
    <col min="7941" max="7941" width="16.5703125" style="623" customWidth="1"/>
    <col min="7942" max="7942" width="19" style="623" customWidth="1"/>
    <col min="7943" max="7943" width="14" style="623" customWidth="1"/>
    <col min="7944" max="7944" width="15.7109375" style="623" customWidth="1"/>
    <col min="7945" max="7945" width="14.42578125" style="623" customWidth="1"/>
    <col min="7946" max="8192" width="9.140625" style="623"/>
    <col min="8193" max="8193" width="6.7109375" style="623" customWidth="1"/>
    <col min="8194" max="8195" width="9.140625" style="623"/>
    <col min="8196" max="8196" width="29.28515625" style="623" customWidth="1"/>
    <col min="8197" max="8197" width="16.5703125" style="623" customWidth="1"/>
    <col min="8198" max="8198" width="19" style="623" customWidth="1"/>
    <col min="8199" max="8199" width="14" style="623" customWidth="1"/>
    <col min="8200" max="8200" width="15.7109375" style="623" customWidth="1"/>
    <col min="8201" max="8201" width="14.42578125" style="623" customWidth="1"/>
    <col min="8202" max="8448" width="9.140625" style="623"/>
    <col min="8449" max="8449" width="6.7109375" style="623" customWidth="1"/>
    <col min="8450" max="8451" width="9.140625" style="623"/>
    <col min="8452" max="8452" width="29.28515625" style="623" customWidth="1"/>
    <col min="8453" max="8453" width="16.5703125" style="623" customWidth="1"/>
    <col min="8454" max="8454" width="19" style="623" customWidth="1"/>
    <col min="8455" max="8455" width="14" style="623" customWidth="1"/>
    <col min="8456" max="8456" width="15.7109375" style="623" customWidth="1"/>
    <col min="8457" max="8457" width="14.42578125" style="623" customWidth="1"/>
    <col min="8458" max="8704" width="9.140625" style="623"/>
    <col min="8705" max="8705" width="6.7109375" style="623" customWidth="1"/>
    <col min="8706" max="8707" width="9.140625" style="623"/>
    <col min="8708" max="8708" width="29.28515625" style="623" customWidth="1"/>
    <col min="8709" max="8709" width="16.5703125" style="623" customWidth="1"/>
    <col min="8710" max="8710" width="19" style="623" customWidth="1"/>
    <col min="8711" max="8711" width="14" style="623" customWidth="1"/>
    <col min="8712" max="8712" width="15.7109375" style="623" customWidth="1"/>
    <col min="8713" max="8713" width="14.42578125" style="623" customWidth="1"/>
    <col min="8714" max="8960" width="9.140625" style="623"/>
    <col min="8961" max="8961" width="6.7109375" style="623" customWidth="1"/>
    <col min="8962" max="8963" width="9.140625" style="623"/>
    <col min="8964" max="8964" width="29.28515625" style="623" customWidth="1"/>
    <col min="8965" max="8965" width="16.5703125" style="623" customWidth="1"/>
    <col min="8966" max="8966" width="19" style="623" customWidth="1"/>
    <col min="8967" max="8967" width="14" style="623" customWidth="1"/>
    <col min="8968" max="8968" width="15.7109375" style="623" customWidth="1"/>
    <col min="8969" max="8969" width="14.42578125" style="623" customWidth="1"/>
    <col min="8970" max="9216" width="9.140625" style="623"/>
    <col min="9217" max="9217" width="6.7109375" style="623" customWidth="1"/>
    <col min="9218" max="9219" width="9.140625" style="623"/>
    <col min="9220" max="9220" width="29.28515625" style="623" customWidth="1"/>
    <col min="9221" max="9221" width="16.5703125" style="623" customWidth="1"/>
    <col min="9222" max="9222" width="19" style="623" customWidth="1"/>
    <col min="9223" max="9223" width="14" style="623" customWidth="1"/>
    <col min="9224" max="9224" width="15.7109375" style="623" customWidth="1"/>
    <col min="9225" max="9225" width="14.42578125" style="623" customWidth="1"/>
    <col min="9226" max="9472" width="9.140625" style="623"/>
    <col min="9473" max="9473" width="6.7109375" style="623" customWidth="1"/>
    <col min="9474" max="9475" width="9.140625" style="623"/>
    <col min="9476" max="9476" width="29.28515625" style="623" customWidth="1"/>
    <col min="9477" max="9477" width="16.5703125" style="623" customWidth="1"/>
    <col min="9478" max="9478" width="19" style="623" customWidth="1"/>
    <col min="9479" max="9479" width="14" style="623" customWidth="1"/>
    <col min="9480" max="9480" width="15.7109375" style="623" customWidth="1"/>
    <col min="9481" max="9481" width="14.42578125" style="623" customWidth="1"/>
    <col min="9482" max="9728" width="9.140625" style="623"/>
    <col min="9729" max="9729" width="6.7109375" style="623" customWidth="1"/>
    <col min="9730" max="9731" width="9.140625" style="623"/>
    <col min="9732" max="9732" width="29.28515625" style="623" customWidth="1"/>
    <col min="9733" max="9733" width="16.5703125" style="623" customWidth="1"/>
    <col min="9734" max="9734" width="19" style="623" customWidth="1"/>
    <col min="9735" max="9735" width="14" style="623" customWidth="1"/>
    <col min="9736" max="9736" width="15.7109375" style="623" customWidth="1"/>
    <col min="9737" max="9737" width="14.42578125" style="623" customWidth="1"/>
    <col min="9738" max="9984" width="9.140625" style="623"/>
    <col min="9985" max="9985" width="6.7109375" style="623" customWidth="1"/>
    <col min="9986" max="9987" width="9.140625" style="623"/>
    <col min="9988" max="9988" width="29.28515625" style="623" customWidth="1"/>
    <col min="9989" max="9989" width="16.5703125" style="623" customWidth="1"/>
    <col min="9990" max="9990" width="19" style="623" customWidth="1"/>
    <col min="9991" max="9991" width="14" style="623" customWidth="1"/>
    <col min="9992" max="9992" width="15.7109375" style="623" customWidth="1"/>
    <col min="9993" max="9993" width="14.42578125" style="623" customWidth="1"/>
    <col min="9994" max="10240" width="9.140625" style="623"/>
    <col min="10241" max="10241" width="6.7109375" style="623" customWidth="1"/>
    <col min="10242" max="10243" width="9.140625" style="623"/>
    <col min="10244" max="10244" width="29.28515625" style="623" customWidth="1"/>
    <col min="10245" max="10245" width="16.5703125" style="623" customWidth="1"/>
    <col min="10246" max="10246" width="19" style="623" customWidth="1"/>
    <col min="10247" max="10247" width="14" style="623" customWidth="1"/>
    <col min="10248" max="10248" width="15.7109375" style="623" customWidth="1"/>
    <col min="10249" max="10249" width="14.42578125" style="623" customWidth="1"/>
    <col min="10250" max="10496" width="9.140625" style="623"/>
    <col min="10497" max="10497" width="6.7109375" style="623" customWidth="1"/>
    <col min="10498" max="10499" width="9.140625" style="623"/>
    <col min="10500" max="10500" width="29.28515625" style="623" customWidth="1"/>
    <col min="10501" max="10501" width="16.5703125" style="623" customWidth="1"/>
    <col min="10502" max="10502" width="19" style="623" customWidth="1"/>
    <col min="10503" max="10503" width="14" style="623" customWidth="1"/>
    <col min="10504" max="10504" width="15.7109375" style="623" customWidth="1"/>
    <col min="10505" max="10505" width="14.42578125" style="623" customWidth="1"/>
    <col min="10506" max="10752" width="9.140625" style="623"/>
    <col min="10753" max="10753" width="6.7109375" style="623" customWidth="1"/>
    <col min="10754" max="10755" width="9.140625" style="623"/>
    <col min="10756" max="10756" width="29.28515625" style="623" customWidth="1"/>
    <col min="10757" max="10757" width="16.5703125" style="623" customWidth="1"/>
    <col min="10758" max="10758" width="19" style="623" customWidth="1"/>
    <col min="10759" max="10759" width="14" style="623" customWidth="1"/>
    <col min="10760" max="10760" width="15.7109375" style="623" customWidth="1"/>
    <col min="10761" max="10761" width="14.42578125" style="623" customWidth="1"/>
    <col min="10762" max="11008" width="9.140625" style="623"/>
    <col min="11009" max="11009" width="6.7109375" style="623" customWidth="1"/>
    <col min="11010" max="11011" width="9.140625" style="623"/>
    <col min="11012" max="11012" width="29.28515625" style="623" customWidth="1"/>
    <col min="11013" max="11013" width="16.5703125" style="623" customWidth="1"/>
    <col min="11014" max="11014" width="19" style="623" customWidth="1"/>
    <col min="11015" max="11015" width="14" style="623" customWidth="1"/>
    <col min="11016" max="11016" width="15.7109375" style="623" customWidth="1"/>
    <col min="11017" max="11017" width="14.42578125" style="623" customWidth="1"/>
    <col min="11018" max="11264" width="9.140625" style="623"/>
    <col min="11265" max="11265" width="6.7109375" style="623" customWidth="1"/>
    <col min="11266" max="11267" width="9.140625" style="623"/>
    <col min="11268" max="11268" width="29.28515625" style="623" customWidth="1"/>
    <col min="11269" max="11269" width="16.5703125" style="623" customWidth="1"/>
    <col min="11270" max="11270" width="19" style="623" customWidth="1"/>
    <col min="11271" max="11271" width="14" style="623" customWidth="1"/>
    <col min="11272" max="11272" width="15.7109375" style="623" customWidth="1"/>
    <col min="11273" max="11273" width="14.42578125" style="623" customWidth="1"/>
    <col min="11274" max="11520" width="9.140625" style="623"/>
    <col min="11521" max="11521" width="6.7109375" style="623" customWidth="1"/>
    <col min="11522" max="11523" width="9.140625" style="623"/>
    <col min="11524" max="11524" width="29.28515625" style="623" customWidth="1"/>
    <col min="11525" max="11525" width="16.5703125" style="623" customWidth="1"/>
    <col min="11526" max="11526" width="19" style="623" customWidth="1"/>
    <col min="11527" max="11527" width="14" style="623" customWidth="1"/>
    <col min="11528" max="11528" width="15.7109375" style="623" customWidth="1"/>
    <col min="11529" max="11529" width="14.42578125" style="623" customWidth="1"/>
    <col min="11530" max="11776" width="9.140625" style="623"/>
    <col min="11777" max="11777" width="6.7109375" style="623" customWidth="1"/>
    <col min="11778" max="11779" width="9.140625" style="623"/>
    <col min="11780" max="11780" width="29.28515625" style="623" customWidth="1"/>
    <col min="11781" max="11781" width="16.5703125" style="623" customWidth="1"/>
    <col min="11782" max="11782" width="19" style="623" customWidth="1"/>
    <col min="11783" max="11783" width="14" style="623" customWidth="1"/>
    <col min="11784" max="11784" width="15.7109375" style="623" customWidth="1"/>
    <col min="11785" max="11785" width="14.42578125" style="623" customWidth="1"/>
    <col min="11786" max="12032" width="9.140625" style="623"/>
    <col min="12033" max="12033" width="6.7109375" style="623" customWidth="1"/>
    <col min="12034" max="12035" width="9.140625" style="623"/>
    <col min="12036" max="12036" width="29.28515625" style="623" customWidth="1"/>
    <col min="12037" max="12037" width="16.5703125" style="623" customWidth="1"/>
    <col min="12038" max="12038" width="19" style="623" customWidth="1"/>
    <col min="12039" max="12039" width="14" style="623" customWidth="1"/>
    <col min="12040" max="12040" width="15.7109375" style="623" customWidth="1"/>
    <col min="12041" max="12041" width="14.42578125" style="623" customWidth="1"/>
    <col min="12042" max="12288" width="9.140625" style="623"/>
    <col min="12289" max="12289" width="6.7109375" style="623" customWidth="1"/>
    <col min="12290" max="12291" width="9.140625" style="623"/>
    <col min="12292" max="12292" width="29.28515625" style="623" customWidth="1"/>
    <col min="12293" max="12293" width="16.5703125" style="623" customWidth="1"/>
    <col min="12294" max="12294" width="19" style="623" customWidth="1"/>
    <col min="12295" max="12295" width="14" style="623" customWidth="1"/>
    <col min="12296" max="12296" width="15.7109375" style="623" customWidth="1"/>
    <col min="12297" max="12297" width="14.42578125" style="623" customWidth="1"/>
    <col min="12298" max="12544" width="9.140625" style="623"/>
    <col min="12545" max="12545" width="6.7109375" style="623" customWidth="1"/>
    <col min="12546" max="12547" width="9.140625" style="623"/>
    <col min="12548" max="12548" width="29.28515625" style="623" customWidth="1"/>
    <col min="12549" max="12549" width="16.5703125" style="623" customWidth="1"/>
    <col min="12550" max="12550" width="19" style="623" customWidth="1"/>
    <col min="12551" max="12551" width="14" style="623" customWidth="1"/>
    <col min="12552" max="12552" width="15.7109375" style="623" customWidth="1"/>
    <col min="12553" max="12553" width="14.42578125" style="623" customWidth="1"/>
    <col min="12554" max="12800" width="9.140625" style="623"/>
    <col min="12801" max="12801" width="6.7109375" style="623" customWidth="1"/>
    <col min="12802" max="12803" width="9.140625" style="623"/>
    <col min="12804" max="12804" width="29.28515625" style="623" customWidth="1"/>
    <col min="12805" max="12805" width="16.5703125" style="623" customWidth="1"/>
    <col min="12806" max="12806" width="19" style="623" customWidth="1"/>
    <col min="12807" max="12807" width="14" style="623" customWidth="1"/>
    <col min="12808" max="12808" width="15.7109375" style="623" customWidth="1"/>
    <col min="12809" max="12809" width="14.42578125" style="623" customWidth="1"/>
    <col min="12810" max="13056" width="9.140625" style="623"/>
    <col min="13057" max="13057" width="6.7109375" style="623" customWidth="1"/>
    <col min="13058" max="13059" width="9.140625" style="623"/>
    <col min="13060" max="13060" width="29.28515625" style="623" customWidth="1"/>
    <col min="13061" max="13061" width="16.5703125" style="623" customWidth="1"/>
    <col min="13062" max="13062" width="19" style="623" customWidth="1"/>
    <col min="13063" max="13063" width="14" style="623" customWidth="1"/>
    <col min="13064" max="13064" width="15.7109375" style="623" customWidth="1"/>
    <col min="13065" max="13065" width="14.42578125" style="623" customWidth="1"/>
    <col min="13066" max="13312" width="9.140625" style="623"/>
    <col min="13313" max="13313" width="6.7109375" style="623" customWidth="1"/>
    <col min="13314" max="13315" width="9.140625" style="623"/>
    <col min="13316" max="13316" width="29.28515625" style="623" customWidth="1"/>
    <col min="13317" max="13317" width="16.5703125" style="623" customWidth="1"/>
    <col min="13318" max="13318" width="19" style="623" customWidth="1"/>
    <col min="13319" max="13319" width="14" style="623" customWidth="1"/>
    <col min="13320" max="13320" width="15.7109375" style="623" customWidth="1"/>
    <col min="13321" max="13321" width="14.42578125" style="623" customWidth="1"/>
    <col min="13322" max="13568" width="9.140625" style="623"/>
    <col min="13569" max="13569" width="6.7109375" style="623" customWidth="1"/>
    <col min="13570" max="13571" width="9.140625" style="623"/>
    <col min="13572" max="13572" width="29.28515625" style="623" customWidth="1"/>
    <col min="13573" max="13573" width="16.5703125" style="623" customWidth="1"/>
    <col min="13574" max="13574" width="19" style="623" customWidth="1"/>
    <col min="13575" max="13575" width="14" style="623" customWidth="1"/>
    <col min="13576" max="13576" width="15.7109375" style="623" customWidth="1"/>
    <col min="13577" max="13577" width="14.42578125" style="623" customWidth="1"/>
    <col min="13578" max="13824" width="9.140625" style="623"/>
    <col min="13825" max="13825" width="6.7109375" style="623" customWidth="1"/>
    <col min="13826" max="13827" width="9.140625" style="623"/>
    <col min="13828" max="13828" width="29.28515625" style="623" customWidth="1"/>
    <col min="13829" max="13829" width="16.5703125" style="623" customWidth="1"/>
    <col min="13830" max="13830" width="19" style="623" customWidth="1"/>
    <col min="13831" max="13831" width="14" style="623" customWidth="1"/>
    <col min="13832" max="13832" width="15.7109375" style="623" customWidth="1"/>
    <col min="13833" max="13833" width="14.42578125" style="623" customWidth="1"/>
    <col min="13834" max="14080" width="9.140625" style="623"/>
    <col min="14081" max="14081" width="6.7109375" style="623" customWidth="1"/>
    <col min="14082" max="14083" width="9.140625" style="623"/>
    <col min="14084" max="14084" width="29.28515625" style="623" customWidth="1"/>
    <col min="14085" max="14085" width="16.5703125" style="623" customWidth="1"/>
    <col min="14086" max="14086" width="19" style="623" customWidth="1"/>
    <col min="14087" max="14087" width="14" style="623" customWidth="1"/>
    <col min="14088" max="14088" width="15.7109375" style="623" customWidth="1"/>
    <col min="14089" max="14089" width="14.42578125" style="623" customWidth="1"/>
    <col min="14090" max="14336" width="9.140625" style="623"/>
    <col min="14337" max="14337" width="6.7109375" style="623" customWidth="1"/>
    <col min="14338" max="14339" width="9.140625" style="623"/>
    <col min="14340" max="14340" width="29.28515625" style="623" customWidth="1"/>
    <col min="14341" max="14341" width="16.5703125" style="623" customWidth="1"/>
    <col min="14342" max="14342" width="19" style="623" customWidth="1"/>
    <col min="14343" max="14343" width="14" style="623" customWidth="1"/>
    <col min="14344" max="14344" width="15.7109375" style="623" customWidth="1"/>
    <col min="14345" max="14345" width="14.42578125" style="623" customWidth="1"/>
    <col min="14346" max="14592" width="9.140625" style="623"/>
    <col min="14593" max="14593" width="6.7109375" style="623" customWidth="1"/>
    <col min="14594" max="14595" width="9.140625" style="623"/>
    <col min="14596" max="14596" width="29.28515625" style="623" customWidth="1"/>
    <col min="14597" max="14597" width="16.5703125" style="623" customWidth="1"/>
    <col min="14598" max="14598" width="19" style="623" customWidth="1"/>
    <col min="14599" max="14599" width="14" style="623" customWidth="1"/>
    <col min="14600" max="14600" width="15.7109375" style="623" customWidth="1"/>
    <col min="14601" max="14601" width="14.42578125" style="623" customWidth="1"/>
    <col min="14602" max="14848" width="9.140625" style="623"/>
    <col min="14849" max="14849" width="6.7109375" style="623" customWidth="1"/>
    <col min="14850" max="14851" width="9.140625" style="623"/>
    <col min="14852" max="14852" width="29.28515625" style="623" customWidth="1"/>
    <col min="14853" max="14853" width="16.5703125" style="623" customWidth="1"/>
    <col min="14854" max="14854" width="19" style="623" customWidth="1"/>
    <col min="14855" max="14855" width="14" style="623" customWidth="1"/>
    <col min="14856" max="14856" width="15.7109375" style="623" customWidth="1"/>
    <col min="14857" max="14857" width="14.42578125" style="623" customWidth="1"/>
    <col min="14858" max="15104" width="9.140625" style="623"/>
    <col min="15105" max="15105" width="6.7109375" style="623" customWidth="1"/>
    <col min="15106" max="15107" width="9.140625" style="623"/>
    <col min="15108" max="15108" width="29.28515625" style="623" customWidth="1"/>
    <col min="15109" max="15109" width="16.5703125" style="623" customWidth="1"/>
    <col min="15110" max="15110" width="19" style="623" customWidth="1"/>
    <col min="15111" max="15111" width="14" style="623" customWidth="1"/>
    <col min="15112" max="15112" width="15.7109375" style="623" customWidth="1"/>
    <col min="15113" max="15113" width="14.42578125" style="623" customWidth="1"/>
    <col min="15114" max="15360" width="9.140625" style="623"/>
    <col min="15361" max="15361" width="6.7109375" style="623" customWidth="1"/>
    <col min="15362" max="15363" width="9.140625" style="623"/>
    <col min="15364" max="15364" width="29.28515625" style="623" customWidth="1"/>
    <col min="15365" max="15365" width="16.5703125" style="623" customWidth="1"/>
    <col min="15366" max="15366" width="19" style="623" customWidth="1"/>
    <col min="15367" max="15367" width="14" style="623" customWidth="1"/>
    <col min="15368" max="15368" width="15.7109375" style="623" customWidth="1"/>
    <col min="15369" max="15369" width="14.42578125" style="623" customWidth="1"/>
    <col min="15370" max="15616" width="9.140625" style="623"/>
    <col min="15617" max="15617" width="6.7109375" style="623" customWidth="1"/>
    <col min="15618" max="15619" width="9.140625" style="623"/>
    <col min="15620" max="15620" width="29.28515625" style="623" customWidth="1"/>
    <col min="15621" max="15621" width="16.5703125" style="623" customWidth="1"/>
    <col min="15622" max="15622" width="19" style="623" customWidth="1"/>
    <col min="15623" max="15623" width="14" style="623" customWidth="1"/>
    <col min="15624" max="15624" width="15.7109375" style="623" customWidth="1"/>
    <col min="15625" max="15625" width="14.42578125" style="623" customWidth="1"/>
    <col min="15626" max="15872" width="9.140625" style="623"/>
    <col min="15873" max="15873" width="6.7109375" style="623" customWidth="1"/>
    <col min="15874" max="15875" width="9.140625" style="623"/>
    <col min="15876" max="15876" width="29.28515625" style="623" customWidth="1"/>
    <col min="15877" max="15877" width="16.5703125" style="623" customWidth="1"/>
    <col min="15878" max="15878" width="19" style="623" customWidth="1"/>
    <col min="15879" max="15879" width="14" style="623" customWidth="1"/>
    <col min="15880" max="15880" width="15.7109375" style="623" customWidth="1"/>
    <col min="15881" max="15881" width="14.42578125" style="623" customWidth="1"/>
    <col min="15882" max="16128" width="9.140625" style="623"/>
    <col min="16129" max="16129" width="6.7109375" style="623" customWidth="1"/>
    <col min="16130" max="16131" width="9.140625" style="623"/>
    <col min="16132" max="16132" width="29.28515625" style="623" customWidth="1"/>
    <col min="16133" max="16133" width="16.5703125" style="623" customWidth="1"/>
    <col min="16134" max="16134" width="19" style="623" customWidth="1"/>
    <col min="16135" max="16135" width="14" style="623" customWidth="1"/>
    <col min="16136" max="16136" width="15.7109375" style="623" customWidth="1"/>
    <col min="16137" max="16137" width="14.42578125" style="623" customWidth="1"/>
    <col min="16138" max="16384" width="9.140625" style="623"/>
  </cols>
  <sheetData>
    <row r="1" spans="1:9" ht="15.75" x14ac:dyDescent="0.25">
      <c r="F1" s="624"/>
      <c r="G1" s="624"/>
    </row>
    <row r="2" spans="1:9" ht="15.75" x14ac:dyDescent="0.25">
      <c r="F2" s="624"/>
      <c r="G2" s="624"/>
    </row>
    <row r="3" spans="1:9" x14ac:dyDescent="0.25">
      <c r="I3" s="625" t="s">
        <v>514</v>
      </c>
    </row>
    <row r="4" spans="1:9" ht="24.95" customHeight="1" x14ac:dyDescent="0.25">
      <c r="A4" s="1038" t="s">
        <v>705</v>
      </c>
      <c r="B4" s="1032" t="s">
        <v>15</v>
      </c>
      <c r="C4" s="1039"/>
      <c r="D4" s="1040"/>
      <c r="E4" s="1032" t="s">
        <v>737</v>
      </c>
      <c r="F4" s="1032" t="s">
        <v>329</v>
      </c>
      <c r="G4" s="1032" t="s">
        <v>317</v>
      </c>
      <c r="H4" s="1036" t="s">
        <v>319</v>
      </c>
      <c r="I4" s="1032" t="s">
        <v>13</v>
      </c>
    </row>
    <row r="5" spans="1:9" ht="35.25" customHeight="1" x14ac:dyDescent="0.25">
      <c r="A5" s="1037"/>
      <c r="B5" s="1033"/>
      <c r="C5" s="1041"/>
      <c r="D5" s="1042"/>
      <c r="E5" s="1033"/>
      <c r="F5" s="1033"/>
      <c r="G5" s="1033"/>
      <c r="H5" s="1037"/>
      <c r="I5" s="1033"/>
    </row>
    <row r="6" spans="1:9" ht="17.25" customHeight="1" x14ac:dyDescent="0.25">
      <c r="A6" s="626">
        <v>1</v>
      </c>
      <c r="B6" s="1034" t="s">
        <v>1029</v>
      </c>
      <c r="C6" s="1034"/>
      <c r="D6" s="1034"/>
      <c r="E6" s="627">
        <v>61717518</v>
      </c>
      <c r="F6" s="627">
        <v>5492669</v>
      </c>
      <c r="G6" s="627">
        <v>2239467</v>
      </c>
      <c r="H6" s="627">
        <v>2382719</v>
      </c>
      <c r="I6" s="627">
        <f t="shared" ref="I6:I14" si="0">SUM(E6:H6)</f>
        <v>71832373</v>
      </c>
    </row>
    <row r="7" spans="1:9" ht="27" customHeight="1" x14ac:dyDescent="0.25">
      <c r="A7" s="1035" t="s">
        <v>350</v>
      </c>
      <c r="B7" s="1035"/>
      <c r="C7" s="1035"/>
      <c r="D7" s="1035"/>
      <c r="E7" s="1035"/>
      <c r="F7" s="1035"/>
      <c r="G7" s="1035"/>
      <c r="H7" s="1035"/>
      <c r="I7" s="1035"/>
    </row>
    <row r="8" spans="1:9" ht="15.75" customHeight="1" x14ac:dyDescent="0.25">
      <c r="A8" s="626">
        <v>2</v>
      </c>
      <c r="B8" s="1043" t="s">
        <v>1030</v>
      </c>
      <c r="C8" s="1043"/>
      <c r="D8" s="1043"/>
      <c r="E8" s="578">
        <v>1800934199</v>
      </c>
      <c r="F8" s="579">
        <v>19840330</v>
      </c>
      <c r="G8" s="579">
        <v>54490680</v>
      </c>
      <c r="H8" s="579">
        <v>40688613</v>
      </c>
      <c r="I8" s="628">
        <f t="shared" si="0"/>
        <v>1915953822</v>
      </c>
    </row>
    <row r="9" spans="1:9" ht="18" customHeight="1" x14ac:dyDescent="0.25">
      <c r="A9" s="626">
        <v>3</v>
      </c>
      <c r="B9" s="1043" t="s">
        <v>1031</v>
      </c>
      <c r="C9" s="1043"/>
      <c r="D9" s="1043"/>
      <c r="E9" s="587">
        <v>410557157</v>
      </c>
      <c r="F9" s="587">
        <v>123567847</v>
      </c>
      <c r="G9" s="587">
        <v>111544787</v>
      </c>
      <c r="H9" s="587">
        <v>31267443</v>
      </c>
      <c r="I9" s="628">
        <f t="shared" si="0"/>
        <v>676937234</v>
      </c>
    </row>
    <row r="10" spans="1:9" ht="17.25" customHeight="1" x14ac:dyDescent="0.25">
      <c r="A10" s="626">
        <v>4</v>
      </c>
      <c r="B10" s="1034" t="s">
        <v>1032</v>
      </c>
      <c r="C10" s="1034"/>
      <c r="D10" s="1034"/>
      <c r="E10" s="627">
        <f>SUM(E8+E9)</f>
        <v>2211491356</v>
      </c>
      <c r="F10" s="627">
        <f>F8+F9</f>
        <v>143408177</v>
      </c>
      <c r="G10" s="627">
        <f>SUM(G8+G9)</f>
        <v>166035467</v>
      </c>
      <c r="H10" s="627">
        <f>SUM(H8+H9)</f>
        <v>71956056</v>
      </c>
      <c r="I10" s="627">
        <f t="shared" si="0"/>
        <v>2592891056</v>
      </c>
    </row>
    <row r="11" spans="1:9" ht="17.25" customHeight="1" x14ac:dyDescent="0.25">
      <c r="A11" s="626">
        <v>5</v>
      </c>
      <c r="B11" s="1028" t="s">
        <v>1033</v>
      </c>
      <c r="C11" s="1028"/>
      <c r="D11" s="1028"/>
      <c r="E11" s="628">
        <v>54149937</v>
      </c>
      <c r="F11" s="628">
        <v>5918207</v>
      </c>
      <c r="G11" s="628">
        <v>2212562</v>
      </c>
      <c r="H11" s="629">
        <v>2496860</v>
      </c>
      <c r="I11" s="628">
        <f t="shared" si="0"/>
        <v>64777566</v>
      </c>
    </row>
    <row r="12" spans="1:9" ht="17.25" customHeight="1" x14ac:dyDescent="0.25">
      <c r="A12" s="626">
        <v>6</v>
      </c>
      <c r="B12" s="1028" t="s">
        <v>1034</v>
      </c>
      <c r="C12" s="1028"/>
      <c r="D12" s="1028"/>
      <c r="E12" s="628">
        <v>-11898</v>
      </c>
      <c r="F12" s="628">
        <v>-289444</v>
      </c>
      <c r="G12" s="628"/>
      <c r="H12" s="629">
        <v>-21857</v>
      </c>
      <c r="I12" s="628">
        <f t="shared" si="0"/>
        <v>-323199</v>
      </c>
    </row>
    <row r="13" spans="1:9" ht="21" customHeight="1" x14ac:dyDescent="0.25">
      <c r="A13" s="626">
        <v>7</v>
      </c>
      <c r="B13" s="1028" t="s">
        <v>1035</v>
      </c>
      <c r="C13" s="1028"/>
      <c r="D13" s="1028"/>
      <c r="E13" s="628"/>
      <c r="F13" s="628">
        <v>36450</v>
      </c>
      <c r="G13" s="628"/>
      <c r="H13" s="629">
        <v>-50000</v>
      </c>
      <c r="I13" s="628">
        <f t="shared" si="0"/>
        <v>-13550</v>
      </c>
    </row>
    <row r="14" spans="1:9" ht="51.75" customHeight="1" x14ac:dyDescent="0.25">
      <c r="A14" s="630">
        <v>9</v>
      </c>
      <c r="B14" s="1025" t="s">
        <v>1924</v>
      </c>
      <c r="C14" s="1025"/>
      <c r="D14" s="1025"/>
      <c r="E14" s="631">
        <f>E10-E11-E12-E13</f>
        <v>2157353317</v>
      </c>
      <c r="F14" s="631">
        <f>F10-F11-F12-F13</f>
        <v>137742964</v>
      </c>
      <c r="G14" s="631">
        <f>G10-G11-G12-G13</f>
        <v>163822905</v>
      </c>
      <c r="H14" s="631">
        <f>H10-H11-H12-H13</f>
        <v>69531053</v>
      </c>
      <c r="I14" s="631">
        <f t="shared" si="0"/>
        <v>2528450239</v>
      </c>
    </row>
    <row r="15" spans="1:9" x14ac:dyDescent="0.25">
      <c r="A15" s="1026"/>
      <c r="B15" s="1026"/>
      <c r="C15" s="1026"/>
      <c r="D15" s="1026"/>
      <c r="E15" s="1026"/>
      <c r="F15" s="1026"/>
      <c r="G15" s="1026"/>
      <c r="H15" s="1026"/>
      <c r="I15" s="1026"/>
    </row>
    <row r="16" spans="1:9" ht="25.5" customHeight="1" x14ac:dyDescent="0.25">
      <c r="A16" s="1031" t="s">
        <v>36</v>
      </c>
      <c r="B16" s="1031"/>
      <c r="C16" s="1031"/>
      <c r="D16" s="1031"/>
      <c r="E16" s="1031"/>
      <c r="F16" s="1031"/>
      <c r="G16" s="1031"/>
      <c r="H16" s="1031"/>
      <c r="I16" s="1031"/>
    </row>
    <row r="17" spans="1:9" ht="15" customHeight="1" x14ac:dyDescent="0.25">
      <c r="A17" s="626">
        <v>10</v>
      </c>
      <c r="B17" s="1028" t="s">
        <v>1036</v>
      </c>
      <c r="C17" s="1028"/>
      <c r="D17" s="1028"/>
      <c r="E17" s="578">
        <v>850093515</v>
      </c>
      <c r="F17" s="578">
        <v>141244359</v>
      </c>
      <c r="G17" s="581">
        <v>162713776</v>
      </c>
      <c r="H17" s="581">
        <v>55667090</v>
      </c>
      <c r="I17" s="628">
        <f t="shared" ref="I17:I23" si="1">SUM(E17:H17)</f>
        <v>1209718740</v>
      </c>
    </row>
    <row r="18" spans="1:9" x14ac:dyDescent="0.25">
      <c r="A18" s="626">
        <v>11</v>
      </c>
      <c r="B18" s="1028" t="s">
        <v>1037</v>
      </c>
      <c r="C18" s="1028"/>
      <c r="D18" s="1028"/>
      <c r="E18" s="587">
        <v>379851427</v>
      </c>
      <c r="F18" s="587"/>
      <c r="G18" s="587"/>
      <c r="H18" s="587"/>
      <c r="I18" s="628">
        <f t="shared" si="1"/>
        <v>379851427</v>
      </c>
    </row>
    <row r="19" spans="1:9" x14ac:dyDescent="0.25">
      <c r="A19" s="626">
        <v>12</v>
      </c>
      <c r="B19" s="1029" t="s">
        <v>53</v>
      </c>
      <c r="C19" s="1029"/>
      <c r="D19" s="1029"/>
      <c r="E19" s="627">
        <f>E17+E18</f>
        <v>1229944942</v>
      </c>
      <c r="F19" s="627">
        <f>F17+F18</f>
        <v>141244359</v>
      </c>
      <c r="G19" s="627">
        <f>G17+G18</f>
        <v>162713776</v>
      </c>
      <c r="H19" s="627">
        <f>H17+H18</f>
        <v>55667090</v>
      </c>
      <c r="I19" s="627">
        <f t="shared" si="1"/>
        <v>1589570167</v>
      </c>
    </row>
    <row r="20" spans="1:9" x14ac:dyDescent="0.25">
      <c r="A20" s="626">
        <v>13</v>
      </c>
      <c r="B20" s="1030" t="s">
        <v>1038</v>
      </c>
      <c r="C20" s="1030"/>
      <c r="D20" s="1030"/>
      <c r="E20" s="628">
        <v>3393607</v>
      </c>
      <c r="F20" s="628"/>
      <c r="G20" s="628">
        <v>12000</v>
      </c>
      <c r="H20" s="629"/>
      <c r="I20" s="628">
        <f t="shared" si="1"/>
        <v>3405607</v>
      </c>
    </row>
    <row r="21" spans="1:9" ht="18" customHeight="1" x14ac:dyDescent="0.25">
      <c r="A21" s="626">
        <v>14</v>
      </c>
      <c r="B21" s="1028" t="s">
        <v>1039</v>
      </c>
      <c r="C21" s="1028"/>
      <c r="D21" s="1028"/>
      <c r="E21" s="628"/>
      <c r="F21" s="628"/>
      <c r="G21" s="628"/>
      <c r="H21" s="629">
        <v>50000</v>
      </c>
      <c r="I21" s="628">
        <f t="shared" si="1"/>
        <v>50000</v>
      </c>
    </row>
    <row r="22" spans="1:9" ht="30.75" customHeight="1" x14ac:dyDescent="0.25">
      <c r="A22" s="630">
        <v>15</v>
      </c>
      <c r="B22" s="1025" t="s">
        <v>1925</v>
      </c>
      <c r="C22" s="1025"/>
      <c r="D22" s="1025"/>
      <c r="E22" s="631">
        <f>E19-E20-E21</f>
        <v>1226551335</v>
      </c>
      <c r="F22" s="631">
        <f>F19-F20-F21</f>
        <v>141244359</v>
      </c>
      <c r="G22" s="631">
        <f>G19-G20-G21</f>
        <v>162701776</v>
      </c>
      <c r="H22" s="631">
        <f>H19-H20-H21</f>
        <v>55617090</v>
      </c>
      <c r="I22" s="631">
        <f>I19-I20-I21</f>
        <v>1586114560</v>
      </c>
    </row>
    <row r="23" spans="1:9" ht="21" customHeight="1" x14ac:dyDescent="0.25">
      <c r="A23" s="632">
        <v>16</v>
      </c>
      <c r="B23" s="1027" t="s">
        <v>1926</v>
      </c>
      <c r="C23" s="1027"/>
      <c r="D23" s="1027"/>
      <c r="E23" s="633">
        <f>E6+E14-E22</f>
        <v>992519500</v>
      </c>
      <c r="F23" s="633">
        <f>F6+F14-F22</f>
        <v>1991274</v>
      </c>
      <c r="G23" s="633">
        <f>G6+G14-G22</f>
        <v>3360596</v>
      </c>
      <c r="H23" s="633">
        <f>H6+H14-H22</f>
        <v>16296682</v>
      </c>
      <c r="I23" s="633">
        <f t="shared" si="1"/>
        <v>1014168052</v>
      </c>
    </row>
    <row r="25" spans="1:9" x14ac:dyDescent="0.25">
      <c r="E25" s="708"/>
      <c r="F25" s="708"/>
      <c r="G25" s="708"/>
      <c r="H25" s="708"/>
    </row>
  </sheetData>
  <mergeCells count="25">
    <mergeCell ref="B11:D11"/>
    <mergeCell ref="B12:D12"/>
    <mergeCell ref="B13:D13"/>
    <mergeCell ref="B10:D10"/>
    <mergeCell ref="A4:A5"/>
    <mergeCell ref="B4:D5"/>
    <mergeCell ref="B8:D8"/>
    <mergeCell ref="B9:D9"/>
    <mergeCell ref="E4:E5"/>
    <mergeCell ref="F4:F5"/>
    <mergeCell ref="I4:I5"/>
    <mergeCell ref="B6:D6"/>
    <mergeCell ref="A7:I7"/>
    <mergeCell ref="G4:G5"/>
    <mergeCell ref="H4:H5"/>
    <mergeCell ref="B14:D14"/>
    <mergeCell ref="A15:I15"/>
    <mergeCell ref="B23:D23"/>
    <mergeCell ref="B17:D17"/>
    <mergeCell ref="B18:D18"/>
    <mergeCell ref="B19:D19"/>
    <mergeCell ref="B20:D20"/>
    <mergeCell ref="B21:D21"/>
    <mergeCell ref="B22:D22"/>
    <mergeCell ref="A16:I16"/>
  </mergeCells>
  <pageMargins left="0.7" right="0.2" top="0.75" bottom="0.75" header="0.3" footer="0.3"/>
  <pageSetup paperSize="9" scale="90" orientation="landscape" r:id="rId1"/>
  <headerFooter alignWithMargins="0">
    <oddHeader xml:space="preserve">&amp;C&amp;"Arial CE,Félkövér"&amp;12 /2019. (   ) számú költségvetési rendelethez
Zalakaros Város Önkormányzata 2018.évi pénzeszközeinek változása 
&amp;R&amp;A
&amp;P.oldal
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H36"/>
  <sheetViews>
    <sheetView view="pageLayout" topLeftCell="A16" zoomScaleNormal="100" workbookViewId="0">
      <selection activeCell="C14" sqref="C14"/>
    </sheetView>
  </sheetViews>
  <sheetFormatPr defaultRowHeight="12.75" x14ac:dyDescent="0.2"/>
  <cols>
    <col min="1" max="1" width="7.140625" style="634" customWidth="1"/>
    <col min="2" max="2" width="57.5703125" style="634" customWidth="1"/>
    <col min="3" max="3" width="13.140625" style="634" customWidth="1"/>
    <col min="4" max="4" width="11.140625" style="634" bestFit="1" customWidth="1"/>
    <col min="5" max="5" width="11.42578125" style="634" customWidth="1"/>
    <col min="6" max="6" width="11.28515625" style="634" customWidth="1"/>
    <col min="7" max="7" width="11.42578125" style="634" customWidth="1"/>
    <col min="8" max="8" width="14.140625" style="634" customWidth="1"/>
    <col min="9" max="256" width="9.140625" style="634"/>
    <col min="257" max="257" width="7.140625" style="634" customWidth="1"/>
    <col min="258" max="258" width="50" style="634" customWidth="1"/>
    <col min="259" max="259" width="13.140625" style="634" customWidth="1"/>
    <col min="260" max="260" width="11.140625" style="634" bestFit="1" customWidth="1"/>
    <col min="261" max="261" width="11.42578125" style="634" customWidth="1"/>
    <col min="262" max="262" width="12" style="634" customWidth="1"/>
    <col min="263" max="263" width="11.42578125" style="634" customWidth="1"/>
    <col min="264" max="264" width="14.140625" style="634" customWidth="1"/>
    <col min="265" max="512" width="9.140625" style="634"/>
    <col min="513" max="513" width="7.140625" style="634" customWidth="1"/>
    <col min="514" max="514" width="50" style="634" customWidth="1"/>
    <col min="515" max="515" width="13.140625" style="634" customWidth="1"/>
    <col min="516" max="516" width="11.140625" style="634" bestFit="1" customWidth="1"/>
    <col min="517" max="517" width="11.42578125" style="634" customWidth="1"/>
    <col min="518" max="518" width="12" style="634" customWidth="1"/>
    <col min="519" max="519" width="11.42578125" style="634" customWidth="1"/>
    <col min="520" max="520" width="14.140625" style="634" customWidth="1"/>
    <col min="521" max="768" width="9.140625" style="634"/>
    <col min="769" max="769" width="7.140625" style="634" customWidth="1"/>
    <col min="770" max="770" width="50" style="634" customWidth="1"/>
    <col min="771" max="771" width="13.140625" style="634" customWidth="1"/>
    <col min="772" max="772" width="11.140625" style="634" bestFit="1" customWidth="1"/>
    <col min="773" max="773" width="11.42578125" style="634" customWidth="1"/>
    <col min="774" max="774" width="12" style="634" customWidth="1"/>
    <col min="775" max="775" width="11.42578125" style="634" customWidth="1"/>
    <col min="776" max="776" width="14.140625" style="634" customWidth="1"/>
    <col min="777" max="1024" width="9.140625" style="634"/>
    <col min="1025" max="1025" width="7.140625" style="634" customWidth="1"/>
    <col min="1026" max="1026" width="50" style="634" customWidth="1"/>
    <col min="1027" max="1027" width="13.140625" style="634" customWidth="1"/>
    <col min="1028" max="1028" width="11.140625" style="634" bestFit="1" customWidth="1"/>
    <col min="1029" max="1029" width="11.42578125" style="634" customWidth="1"/>
    <col min="1030" max="1030" width="12" style="634" customWidth="1"/>
    <col min="1031" max="1031" width="11.42578125" style="634" customWidth="1"/>
    <col min="1032" max="1032" width="14.140625" style="634" customWidth="1"/>
    <col min="1033" max="1280" width="9.140625" style="634"/>
    <col min="1281" max="1281" width="7.140625" style="634" customWidth="1"/>
    <col min="1282" max="1282" width="50" style="634" customWidth="1"/>
    <col min="1283" max="1283" width="13.140625" style="634" customWidth="1"/>
    <col min="1284" max="1284" width="11.140625" style="634" bestFit="1" customWidth="1"/>
    <col min="1285" max="1285" width="11.42578125" style="634" customWidth="1"/>
    <col min="1286" max="1286" width="12" style="634" customWidth="1"/>
    <col min="1287" max="1287" width="11.42578125" style="634" customWidth="1"/>
    <col min="1288" max="1288" width="14.140625" style="634" customWidth="1"/>
    <col min="1289" max="1536" width="9.140625" style="634"/>
    <col min="1537" max="1537" width="7.140625" style="634" customWidth="1"/>
    <col min="1538" max="1538" width="50" style="634" customWidth="1"/>
    <col min="1539" max="1539" width="13.140625" style="634" customWidth="1"/>
    <col min="1540" max="1540" width="11.140625" style="634" bestFit="1" customWidth="1"/>
    <col min="1541" max="1541" width="11.42578125" style="634" customWidth="1"/>
    <col min="1542" max="1542" width="12" style="634" customWidth="1"/>
    <col min="1543" max="1543" width="11.42578125" style="634" customWidth="1"/>
    <col min="1544" max="1544" width="14.140625" style="634" customWidth="1"/>
    <col min="1545" max="1792" width="9.140625" style="634"/>
    <col min="1793" max="1793" width="7.140625" style="634" customWidth="1"/>
    <col min="1794" max="1794" width="50" style="634" customWidth="1"/>
    <col min="1795" max="1795" width="13.140625" style="634" customWidth="1"/>
    <col min="1796" max="1796" width="11.140625" style="634" bestFit="1" customWidth="1"/>
    <col min="1797" max="1797" width="11.42578125" style="634" customWidth="1"/>
    <col min="1798" max="1798" width="12" style="634" customWidth="1"/>
    <col min="1799" max="1799" width="11.42578125" style="634" customWidth="1"/>
    <col min="1800" max="1800" width="14.140625" style="634" customWidth="1"/>
    <col min="1801" max="2048" width="9.140625" style="634"/>
    <col min="2049" max="2049" width="7.140625" style="634" customWidth="1"/>
    <col min="2050" max="2050" width="50" style="634" customWidth="1"/>
    <col min="2051" max="2051" width="13.140625" style="634" customWidth="1"/>
    <col min="2052" max="2052" width="11.140625" style="634" bestFit="1" customWidth="1"/>
    <col min="2053" max="2053" width="11.42578125" style="634" customWidth="1"/>
    <col min="2054" max="2054" width="12" style="634" customWidth="1"/>
    <col min="2055" max="2055" width="11.42578125" style="634" customWidth="1"/>
    <col min="2056" max="2056" width="14.140625" style="634" customWidth="1"/>
    <col min="2057" max="2304" width="9.140625" style="634"/>
    <col min="2305" max="2305" width="7.140625" style="634" customWidth="1"/>
    <col min="2306" max="2306" width="50" style="634" customWidth="1"/>
    <col min="2307" max="2307" width="13.140625" style="634" customWidth="1"/>
    <col min="2308" max="2308" width="11.140625" style="634" bestFit="1" customWidth="1"/>
    <col min="2309" max="2309" width="11.42578125" style="634" customWidth="1"/>
    <col min="2310" max="2310" width="12" style="634" customWidth="1"/>
    <col min="2311" max="2311" width="11.42578125" style="634" customWidth="1"/>
    <col min="2312" max="2312" width="14.140625" style="634" customWidth="1"/>
    <col min="2313" max="2560" width="9.140625" style="634"/>
    <col min="2561" max="2561" width="7.140625" style="634" customWidth="1"/>
    <col min="2562" max="2562" width="50" style="634" customWidth="1"/>
    <col min="2563" max="2563" width="13.140625" style="634" customWidth="1"/>
    <col min="2564" max="2564" width="11.140625" style="634" bestFit="1" customWidth="1"/>
    <col min="2565" max="2565" width="11.42578125" style="634" customWidth="1"/>
    <col min="2566" max="2566" width="12" style="634" customWidth="1"/>
    <col min="2567" max="2567" width="11.42578125" style="634" customWidth="1"/>
    <col min="2568" max="2568" width="14.140625" style="634" customWidth="1"/>
    <col min="2569" max="2816" width="9.140625" style="634"/>
    <col min="2817" max="2817" width="7.140625" style="634" customWidth="1"/>
    <col min="2818" max="2818" width="50" style="634" customWidth="1"/>
    <col min="2819" max="2819" width="13.140625" style="634" customWidth="1"/>
    <col min="2820" max="2820" width="11.140625" style="634" bestFit="1" customWidth="1"/>
    <col min="2821" max="2821" width="11.42578125" style="634" customWidth="1"/>
    <col min="2822" max="2822" width="12" style="634" customWidth="1"/>
    <col min="2823" max="2823" width="11.42578125" style="634" customWidth="1"/>
    <col min="2824" max="2824" width="14.140625" style="634" customWidth="1"/>
    <col min="2825" max="3072" width="9.140625" style="634"/>
    <col min="3073" max="3073" width="7.140625" style="634" customWidth="1"/>
    <col min="3074" max="3074" width="50" style="634" customWidth="1"/>
    <col min="3075" max="3075" width="13.140625" style="634" customWidth="1"/>
    <col min="3076" max="3076" width="11.140625" style="634" bestFit="1" customWidth="1"/>
    <col min="3077" max="3077" width="11.42578125" style="634" customWidth="1"/>
    <col min="3078" max="3078" width="12" style="634" customWidth="1"/>
    <col min="3079" max="3079" width="11.42578125" style="634" customWidth="1"/>
    <col min="3080" max="3080" width="14.140625" style="634" customWidth="1"/>
    <col min="3081" max="3328" width="9.140625" style="634"/>
    <col min="3329" max="3329" width="7.140625" style="634" customWidth="1"/>
    <col min="3330" max="3330" width="50" style="634" customWidth="1"/>
    <col min="3331" max="3331" width="13.140625" style="634" customWidth="1"/>
    <col min="3332" max="3332" width="11.140625" style="634" bestFit="1" customWidth="1"/>
    <col min="3333" max="3333" width="11.42578125" style="634" customWidth="1"/>
    <col min="3334" max="3334" width="12" style="634" customWidth="1"/>
    <col min="3335" max="3335" width="11.42578125" style="634" customWidth="1"/>
    <col min="3336" max="3336" width="14.140625" style="634" customWidth="1"/>
    <col min="3337" max="3584" width="9.140625" style="634"/>
    <col min="3585" max="3585" width="7.140625" style="634" customWidth="1"/>
    <col min="3586" max="3586" width="50" style="634" customWidth="1"/>
    <col min="3587" max="3587" width="13.140625" style="634" customWidth="1"/>
    <col min="3588" max="3588" width="11.140625" style="634" bestFit="1" customWidth="1"/>
    <col min="3589" max="3589" width="11.42578125" style="634" customWidth="1"/>
    <col min="3590" max="3590" width="12" style="634" customWidth="1"/>
    <col min="3591" max="3591" width="11.42578125" style="634" customWidth="1"/>
    <col min="3592" max="3592" width="14.140625" style="634" customWidth="1"/>
    <col min="3593" max="3840" width="9.140625" style="634"/>
    <col min="3841" max="3841" width="7.140625" style="634" customWidth="1"/>
    <col min="3842" max="3842" width="50" style="634" customWidth="1"/>
    <col min="3843" max="3843" width="13.140625" style="634" customWidth="1"/>
    <col min="3844" max="3844" width="11.140625" style="634" bestFit="1" customWidth="1"/>
    <col min="3845" max="3845" width="11.42578125" style="634" customWidth="1"/>
    <col min="3846" max="3846" width="12" style="634" customWidth="1"/>
    <col min="3847" max="3847" width="11.42578125" style="634" customWidth="1"/>
    <col min="3848" max="3848" width="14.140625" style="634" customWidth="1"/>
    <col min="3849" max="4096" width="9.140625" style="634"/>
    <col min="4097" max="4097" width="7.140625" style="634" customWidth="1"/>
    <col min="4098" max="4098" width="50" style="634" customWidth="1"/>
    <col min="4099" max="4099" width="13.140625" style="634" customWidth="1"/>
    <col min="4100" max="4100" width="11.140625" style="634" bestFit="1" customWidth="1"/>
    <col min="4101" max="4101" width="11.42578125" style="634" customWidth="1"/>
    <col min="4102" max="4102" width="12" style="634" customWidth="1"/>
    <col min="4103" max="4103" width="11.42578125" style="634" customWidth="1"/>
    <col min="4104" max="4104" width="14.140625" style="634" customWidth="1"/>
    <col min="4105" max="4352" width="9.140625" style="634"/>
    <col min="4353" max="4353" width="7.140625" style="634" customWidth="1"/>
    <col min="4354" max="4354" width="50" style="634" customWidth="1"/>
    <col min="4355" max="4355" width="13.140625" style="634" customWidth="1"/>
    <col min="4356" max="4356" width="11.140625" style="634" bestFit="1" customWidth="1"/>
    <col min="4357" max="4357" width="11.42578125" style="634" customWidth="1"/>
    <col min="4358" max="4358" width="12" style="634" customWidth="1"/>
    <col min="4359" max="4359" width="11.42578125" style="634" customWidth="1"/>
    <col min="4360" max="4360" width="14.140625" style="634" customWidth="1"/>
    <col min="4361" max="4608" width="9.140625" style="634"/>
    <col min="4609" max="4609" width="7.140625" style="634" customWidth="1"/>
    <col min="4610" max="4610" width="50" style="634" customWidth="1"/>
    <col min="4611" max="4611" width="13.140625" style="634" customWidth="1"/>
    <col min="4612" max="4612" width="11.140625" style="634" bestFit="1" customWidth="1"/>
    <col min="4613" max="4613" width="11.42578125" style="634" customWidth="1"/>
    <col min="4614" max="4614" width="12" style="634" customWidth="1"/>
    <col min="4615" max="4615" width="11.42578125" style="634" customWidth="1"/>
    <col min="4616" max="4616" width="14.140625" style="634" customWidth="1"/>
    <col min="4617" max="4864" width="9.140625" style="634"/>
    <col min="4865" max="4865" width="7.140625" style="634" customWidth="1"/>
    <col min="4866" max="4866" width="50" style="634" customWidth="1"/>
    <col min="4867" max="4867" width="13.140625" style="634" customWidth="1"/>
    <col min="4868" max="4868" width="11.140625" style="634" bestFit="1" customWidth="1"/>
    <col min="4869" max="4869" width="11.42578125" style="634" customWidth="1"/>
    <col min="4870" max="4870" width="12" style="634" customWidth="1"/>
    <col min="4871" max="4871" width="11.42578125" style="634" customWidth="1"/>
    <col min="4872" max="4872" width="14.140625" style="634" customWidth="1"/>
    <col min="4873" max="5120" width="9.140625" style="634"/>
    <col min="5121" max="5121" width="7.140625" style="634" customWidth="1"/>
    <col min="5122" max="5122" width="50" style="634" customWidth="1"/>
    <col min="5123" max="5123" width="13.140625" style="634" customWidth="1"/>
    <col min="5124" max="5124" width="11.140625" style="634" bestFit="1" customWidth="1"/>
    <col min="5125" max="5125" width="11.42578125" style="634" customWidth="1"/>
    <col min="5126" max="5126" width="12" style="634" customWidth="1"/>
    <col min="5127" max="5127" width="11.42578125" style="634" customWidth="1"/>
    <col min="5128" max="5128" width="14.140625" style="634" customWidth="1"/>
    <col min="5129" max="5376" width="9.140625" style="634"/>
    <col min="5377" max="5377" width="7.140625" style="634" customWidth="1"/>
    <col min="5378" max="5378" width="50" style="634" customWidth="1"/>
    <col min="5379" max="5379" width="13.140625" style="634" customWidth="1"/>
    <col min="5380" max="5380" width="11.140625" style="634" bestFit="1" customWidth="1"/>
    <col min="5381" max="5381" width="11.42578125" style="634" customWidth="1"/>
    <col min="5382" max="5382" width="12" style="634" customWidth="1"/>
    <col min="5383" max="5383" width="11.42578125" style="634" customWidth="1"/>
    <col min="5384" max="5384" width="14.140625" style="634" customWidth="1"/>
    <col min="5385" max="5632" width="9.140625" style="634"/>
    <col min="5633" max="5633" width="7.140625" style="634" customWidth="1"/>
    <col min="5634" max="5634" width="50" style="634" customWidth="1"/>
    <col min="5635" max="5635" width="13.140625" style="634" customWidth="1"/>
    <col min="5636" max="5636" width="11.140625" style="634" bestFit="1" customWidth="1"/>
    <col min="5637" max="5637" width="11.42578125" style="634" customWidth="1"/>
    <col min="5638" max="5638" width="12" style="634" customWidth="1"/>
    <col min="5639" max="5639" width="11.42578125" style="634" customWidth="1"/>
    <col min="5640" max="5640" width="14.140625" style="634" customWidth="1"/>
    <col min="5641" max="5888" width="9.140625" style="634"/>
    <col min="5889" max="5889" width="7.140625" style="634" customWidth="1"/>
    <col min="5890" max="5890" width="50" style="634" customWidth="1"/>
    <col min="5891" max="5891" width="13.140625" style="634" customWidth="1"/>
    <col min="5892" max="5892" width="11.140625" style="634" bestFit="1" customWidth="1"/>
    <col min="5893" max="5893" width="11.42578125" style="634" customWidth="1"/>
    <col min="5894" max="5894" width="12" style="634" customWidth="1"/>
    <col min="5895" max="5895" width="11.42578125" style="634" customWidth="1"/>
    <col min="5896" max="5896" width="14.140625" style="634" customWidth="1"/>
    <col min="5897" max="6144" width="9.140625" style="634"/>
    <col min="6145" max="6145" width="7.140625" style="634" customWidth="1"/>
    <col min="6146" max="6146" width="50" style="634" customWidth="1"/>
    <col min="6147" max="6147" width="13.140625" style="634" customWidth="1"/>
    <col min="6148" max="6148" width="11.140625" style="634" bestFit="1" customWidth="1"/>
    <col min="6149" max="6149" width="11.42578125" style="634" customWidth="1"/>
    <col min="6150" max="6150" width="12" style="634" customWidth="1"/>
    <col min="6151" max="6151" width="11.42578125" style="634" customWidth="1"/>
    <col min="6152" max="6152" width="14.140625" style="634" customWidth="1"/>
    <col min="6153" max="6400" width="9.140625" style="634"/>
    <col min="6401" max="6401" width="7.140625" style="634" customWidth="1"/>
    <col min="6402" max="6402" width="50" style="634" customWidth="1"/>
    <col min="6403" max="6403" width="13.140625" style="634" customWidth="1"/>
    <col min="6404" max="6404" width="11.140625" style="634" bestFit="1" customWidth="1"/>
    <col min="6405" max="6405" width="11.42578125" style="634" customWidth="1"/>
    <col min="6406" max="6406" width="12" style="634" customWidth="1"/>
    <col min="6407" max="6407" width="11.42578125" style="634" customWidth="1"/>
    <col min="6408" max="6408" width="14.140625" style="634" customWidth="1"/>
    <col min="6409" max="6656" width="9.140625" style="634"/>
    <col min="6657" max="6657" width="7.140625" style="634" customWidth="1"/>
    <col min="6658" max="6658" width="50" style="634" customWidth="1"/>
    <col min="6659" max="6659" width="13.140625" style="634" customWidth="1"/>
    <col min="6660" max="6660" width="11.140625" style="634" bestFit="1" customWidth="1"/>
    <col min="6661" max="6661" width="11.42578125" style="634" customWidth="1"/>
    <col min="6662" max="6662" width="12" style="634" customWidth="1"/>
    <col min="6663" max="6663" width="11.42578125" style="634" customWidth="1"/>
    <col min="6664" max="6664" width="14.140625" style="634" customWidth="1"/>
    <col min="6665" max="6912" width="9.140625" style="634"/>
    <col min="6913" max="6913" width="7.140625" style="634" customWidth="1"/>
    <col min="6914" max="6914" width="50" style="634" customWidth="1"/>
    <col min="6915" max="6915" width="13.140625" style="634" customWidth="1"/>
    <col min="6916" max="6916" width="11.140625" style="634" bestFit="1" customWidth="1"/>
    <col min="6917" max="6917" width="11.42578125" style="634" customWidth="1"/>
    <col min="6918" max="6918" width="12" style="634" customWidth="1"/>
    <col min="6919" max="6919" width="11.42578125" style="634" customWidth="1"/>
    <col min="6920" max="6920" width="14.140625" style="634" customWidth="1"/>
    <col min="6921" max="7168" width="9.140625" style="634"/>
    <col min="7169" max="7169" width="7.140625" style="634" customWidth="1"/>
    <col min="7170" max="7170" width="50" style="634" customWidth="1"/>
    <col min="7171" max="7171" width="13.140625" style="634" customWidth="1"/>
    <col min="7172" max="7172" width="11.140625" style="634" bestFit="1" customWidth="1"/>
    <col min="7173" max="7173" width="11.42578125" style="634" customWidth="1"/>
    <col min="7174" max="7174" width="12" style="634" customWidth="1"/>
    <col min="7175" max="7175" width="11.42578125" style="634" customWidth="1"/>
    <col min="7176" max="7176" width="14.140625" style="634" customWidth="1"/>
    <col min="7177" max="7424" width="9.140625" style="634"/>
    <col min="7425" max="7425" width="7.140625" style="634" customWidth="1"/>
    <col min="7426" max="7426" width="50" style="634" customWidth="1"/>
    <col min="7427" max="7427" width="13.140625" style="634" customWidth="1"/>
    <col min="7428" max="7428" width="11.140625" style="634" bestFit="1" customWidth="1"/>
    <col min="7429" max="7429" width="11.42578125" style="634" customWidth="1"/>
    <col min="7430" max="7430" width="12" style="634" customWidth="1"/>
    <col min="7431" max="7431" width="11.42578125" style="634" customWidth="1"/>
    <col min="7432" max="7432" width="14.140625" style="634" customWidth="1"/>
    <col min="7433" max="7680" width="9.140625" style="634"/>
    <col min="7681" max="7681" width="7.140625" style="634" customWidth="1"/>
    <col min="7682" max="7682" width="50" style="634" customWidth="1"/>
    <col min="7683" max="7683" width="13.140625" style="634" customWidth="1"/>
    <col min="7684" max="7684" width="11.140625" style="634" bestFit="1" customWidth="1"/>
    <col min="7685" max="7685" width="11.42578125" style="634" customWidth="1"/>
    <col min="7686" max="7686" width="12" style="634" customWidth="1"/>
    <col min="7687" max="7687" width="11.42578125" style="634" customWidth="1"/>
    <col min="7688" max="7688" width="14.140625" style="634" customWidth="1"/>
    <col min="7689" max="7936" width="9.140625" style="634"/>
    <col min="7937" max="7937" width="7.140625" style="634" customWidth="1"/>
    <col min="7938" max="7938" width="50" style="634" customWidth="1"/>
    <col min="7939" max="7939" width="13.140625" style="634" customWidth="1"/>
    <col min="7940" max="7940" width="11.140625" style="634" bestFit="1" customWidth="1"/>
    <col min="7941" max="7941" width="11.42578125" style="634" customWidth="1"/>
    <col min="7942" max="7942" width="12" style="634" customWidth="1"/>
    <col min="7943" max="7943" width="11.42578125" style="634" customWidth="1"/>
    <col min="7944" max="7944" width="14.140625" style="634" customWidth="1"/>
    <col min="7945" max="8192" width="9.140625" style="634"/>
    <col min="8193" max="8193" width="7.140625" style="634" customWidth="1"/>
    <col min="8194" max="8194" width="50" style="634" customWidth="1"/>
    <col min="8195" max="8195" width="13.140625" style="634" customWidth="1"/>
    <col min="8196" max="8196" width="11.140625" style="634" bestFit="1" customWidth="1"/>
    <col min="8197" max="8197" width="11.42578125" style="634" customWidth="1"/>
    <col min="8198" max="8198" width="12" style="634" customWidth="1"/>
    <col min="8199" max="8199" width="11.42578125" style="634" customWidth="1"/>
    <col min="8200" max="8200" width="14.140625" style="634" customWidth="1"/>
    <col min="8201" max="8448" width="9.140625" style="634"/>
    <col min="8449" max="8449" width="7.140625" style="634" customWidth="1"/>
    <col min="8450" max="8450" width="50" style="634" customWidth="1"/>
    <col min="8451" max="8451" width="13.140625" style="634" customWidth="1"/>
    <col min="8452" max="8452" width="11.140625" style="634" bestFit="1" customWidth="1"/>
    <col min="8453" max="8453" width="11.42578125" style="634" customWidth="1"/>
    <col min="8454" max="8454" width="12" style="634" customWidth="1"/>
    <col min="8455" max="8455" width="11.42578125" style="634" customWidth="1"/>
    <col min="8456" max="8456" width="14.140625" style="634" customWidth="1"/>
    <col min="8457" max="8704" width="9.140625" style="634"/>
    <col min="8705" max="8705" width="7.140625" style="634" customWidth="1"/>
    <col min="8706" max="8706" width="50" style="634" customWidth="1"/>
    <col min="8707" max="8707" width="13.140625" style="634" customWidth="1"/>
    <col min="8708" max="8708" width="11.140625" style="634" bestFit="1" customWidth="1"/>
    <col min="8709" max="8709" width="11.42578125" style="634" customWidth="1"/>
    <col min="8710" max="8710" width="12" style="634" customWidth="1"/>
    <col min="8711" max="8711" width="11.42578125" style="634" customWidth="1"/>
    <col min="8712" max="8712" width="14.140625" style="634" customWidth="1"/>
    <col min="8713" max="8960" width="9.140625" style="634"/>
    <col min="8961" max="8961" width="7.140625" style="634" customWidth="1"/>
    <col min="8962" max="8962" width="50" style="634" customWidth="1"/>
    <col min="8963" max="8963" width="13.140625" style="634" customWidth="1"/>
    <col min="8964" max="8964" width="11.140625" style="634" bestFit="1" customWidth="1"/>
    <col min="8965" max="8965" width="11.42578125" style="634" customWidth="1"/>
    <col min="8966" max="8966" width="12" style="634" customWidth="1"/>
    <col min="8967" max="8967" width="11.42578125" style="634" customWidth="1"/>
    <col min="8968" max="8968" width="14.140625" style="634" customWidth="1"/>
    <col min="8969" max="9216" width="9.140625" style="634"/>
    <col min="9217" max="9217" width="7.140625" style="634" customWidth="1"/>
    <col min="9218" max="9218" width="50" style="634" customWidth="1"/>
    <col min="9219" max="9219" width="13.140625" style="634" customWidth="1"/>
    <col min="9220" max="9220" width="11.140625" style="634" bestFit="1" customWidth="1"/>
    <col min="9221" max="9221" width="11.42578125" style="634" customWidth="1"/>
    <col min="9222" max="9222" width="12" style="634" customWidth="1"/>
    <col min="9223" max="9223" width="11.42578125" style="634" customWidth="1"/>
    <col min="9224" max="9224" width="14.140625" style="634" customWidth="1"/>
    <col min="9225" max="9472" width="9.140625" style="634"/>
    <col min="9473" max="9473" width="7.140625" style="634" customWidth="1"/>
    <col min="9474" max="9474" width="50" style="634" customWidth="1"/>
    <col min="9475" max="9475" width="13.140625" style="634" customWidth="1"/>
    <col min="9476" max="9476" width="11.140625" style="634" bestFit="1" customWidth="1"/>
    <col min="9477" max="9477" width="11.42578125" style="634" customWidth="1"/>
    <col min="9478" max="9478" width="12" style="634" customWidth="1"/>
    <col min="9479" max="9479" width="11.42578125" style="634" customWidth="1"/>
    <col min="9480" max="9480" width="14.140625" style="634" customWidth="1"/>
    <col min="9481" max="9728" width="9.140625" style="634"/>
    <col min="9729" max="9729" width="7.140625" style="634" customWidth="1"/>
    <col min="9730" max="9730" width="50" style="634" customWidth="1"/>
    <col min="9731" max="9731" width="13.140625" style="634" customWidth="1"/>
    <col min="9732" max="9732" width="11.140625" style="634" bestFit="1" customWidth="1"/>
    <col min="9733" max="9733" width="11.42578125" style="634" customWidth="1"/>
    <col min="9734" max="9734" width="12" style="634" customWidth="1"/>
    <col min="9735" max="9735" width="11.42578125" style="634" customWidth="1"/>
    <col min="9736" max="9736" width="14.140625" style="634" customWidth="1"/>
    <col min="9737" max="9984" width="9.140625" style="634"/>
    <col min="9985" max="9985" width="7.140625" style="634" customWidth="1"/>
    <col min="9986" max="9986" width="50" style="634" customWidth="1"/>
    <col min="9987" max="9987" width="13.140625" style="634" customWidth="1"/>
    <col min="9988" max="9988" width="11.140625" style="634" bestFit="1" customWidth="1"/>
    <col min="9989" max="9989" width="11.42578125" style="634" customWidth="1"/>
    <col min="9990" max="9990" width="12" style="634" customWidth="1"/>
    <col min="9991" max="9991" width="11.42578125" style="634" customWidth="1"/>
    <col min="9992" max="9992" width="14.140625" style="634" customWidth="1"/>
    <col min="9993" max="10240" width="9.140625" style="634"/>
    <col min="10241" max="10241" width="7.140625" style="634" customWidth="1"/>
    <col min="10242" max="10242" width="50" style="634" customWidth="1"/>
    <col min="10243" max="10243" width="13.140625" style="634" customWidth="1"/>
    <col min="10244" max="10244" width="11.140625" style="634" bestFit="1" customWidth="1"/>
    <col min="10245" max="10245" width="11.42578125" style="634" customWidth="1"/>
    <col min="10246" max="10246" width="12" style="634" customWidth="1"/>
    <col min="10247" max="10247" width="11.42578125" style="634" customWidth="1"/>
    <col min="10248" max="10248" width="14.140625" style="634" customWidth="1"/>
    <col min="10249" max="10496" width="9.140625" style="634"/>
    <col min="10497" max="10497" width="7.140625" style="634" customWidth="1"/>
    <col min="10498" max="10498" width="50" style="634" customWidth="1"/>
    <col min="10499" max="10499" width="13.140625" style="634" customWidth="1"/>
    <col min="10500" max="10500" width="11.140625" style="634" bestFit="1" customWidth="1"/>
    <col min="10501" max="10501" width="11.42578125" style="634" customWidth="1"/>
    <col min="10502" max="10502" width="12" style="634" customWidth="1"/>
    <col min="10503" max="10503" width="11.42578125" style="634" customWidth="1"/>
    <col min="10504" max="10504" width="14.140625" style="634" customWidth="1"/>
    <col min="10505" max="10752" width="9.140625" style="634"/>
    <col min="10753" max="10753" width="7.140625" style="634" customWidth="1"/>
    <col min="10754" max="10754" width="50" style="634" customWidth="1"/>
    <col min="10755" max="10755" width="13.140625" style="634" customWidth="1"/>
    <col min="10756" max="10756" width="11.140625" style="634" bestFit="1" customWidth="1"/>
    <col min="10757" max="10757" width="11.42578125" style="634" customWidth="1"/>
    <col min="10758" max="10758" width="12" style="634" customWidth="1"/>
    <col min="10759" max="10759" width="11.42578125" style="634" customWidth="1"/>
    <col min="10760" max="10760" width="14.140625" style="634" customWidth="1"/>
    <col min="10761" max="11008" width="9.140625" style="634"/>
    <col min="11009" max="11009" width="7.140625" style="634" customWidth="1"/>
    <col min="11010" max="11010" width="50" style="634" customWidth="1"/>
    <col min="11011" max="11011" width="13.140625" style="634" customWidth="1"/>
    <col min="11012" max="11012" width="11.140625" style="634" bestFit="1" customWidth="1"/>
    <col min="11013" max="11013" width="11.42578125" style="634" customWidth="1"/>
    <col min="11014" max="11014" width="12" style="634" customWidth="1"/>
    <col min="11015" max="11015" width="11.42578125" style="634" customWidth="1"/>
    <col min="11016" max="11016" width="14.140625" style="634" customWidth="1"/>
    <col min="11017" max="11264" width="9.140625" style="634"/>
    <col min="11265" max="11265" width="7.140625" style="634" customWidth="1"/>
    <col min="11266" max="11266" width="50" style="634" customWidth="1"/>
    <col min="11267" max="11267" width="13.140625" style="634" customWidth="1"/>
    <col min="11268" max="11268" width="11.140625" style="634" bestFit="1" customWidth="1"/>
    <col min="11269" max="11269" width="11.42578125" style="634" customWidth="1"/>
    <col min="11270" max="11270" width="12" style="634" customWidth="1"/>
    <col min="11271" max="11271" width="11.42578125" style="634" customWidth="1"/>
    <col min="11272" max="11272" width="14.140625" style="634" customWidth="1"/>
    <col min="11273" max="11520" width="9.140625" style="634"/>
    <col min="11521" max="11521" width="7.140625" style="634" customWidth="1"/>
    <col min="11522" max="11522" width="50" style="634" customWidth="1"/>
    <col min="11523" max="11523" width="13.140625" style="634" customWidth="1"/>
    <col min="11524" max="11524" width="11.140625" style="634" bestFit="1" customWidth="1"/>
    <col min="11525" max="11525" width="11.42578125" style="634" customWidth="1"/>
    <col min="11526" max="11526" width="12" style="634" customWidth="1"/>
    <col min="11527" max="11527" width="11.42578125" style="634" customWidth="1"/>
    <col min="11528" max="11528" width="14.140625" style="634" customWidth="1"/>
    <col min="11529" max="11776" width="9.140625" style="634"/>
    <col min="11777" max="11777" width="7.140625" style="634" customWidth="1"/>
    <col min="11778" max="11778" width="50" style="634" customWidth="1"/>
    <col min="11779" max="11779" width="13.140625" style="634" customWidth="1"/>
    <col min="11780" max="11780" width="11.140625" style="634" bestFit="1" customWidth="1"/>
    <col min="11781" max="11781" width="11.42578125" style="634" customWidth="1"/>
    <col min="11782" max="11782" width="12" style="634" customWidth="1"/>
    <col min="11783" max="11783" width="11.42578125" style="634" customWidth="1"/>
    <col min="11784" max="11784" width="14.140625" style="634" customWidth="1"/>
    <col min="11785" max="12032" width="9.140625" style="634"/>
    <col min="12033" max="12033" width="7.140625" style="634" customWidth="1"/>
    <col min="12034" max="12034" width="50" style="634" customWidth="1"/>
    <col min="12035" max="12035" width="13.140625" style="634" customWidth="1"/>
    <col min="12036" max="12036" width="11.140625" style="634" bestFit="1" customWidth="1"/>
    <col min="12037" max="12037" width="11.42578125" style="634" customWidth="1"/>
    <col min="12038" max="12038" width="12" style="634" customWidth="1"/>
    <col min="12039" max="12039" width="11.42578125" style="634" customWidth="1"/>
    <col min="12040" max="12040" width="14.140625" style="634" customWidth="1"/>
    <col min="12041" max="12288" width="9.140625" style="634"/>
    <col min="12289" max="12289" width="7.140625" style="634" customWidth="1"/>
    <col min="12290" max="12290" width="50" style="634" customWidth="1"/>
    <col min="12291" max="12291" width="13.140625" style="634" customWidth="1"/>
    <col min="12292" max="12292" width="11.140625" style="634" bestFit="1" customWidth="1"/>
    <col min="12293" max="12293" width="11.42578125" style="634" customWidth="1"/>
    <col min="12294" max="12294" width="12" style="634" customWidth="1"/>
    <col min="12295" max="12295" width="11.42578125" style="634" customWidth="1"/>
    <col min="12296" max="12296" width="14.140625" style="634" customWidth="1"/>
    <col min="12297" max="12544" width="9.140625" style="634"/>
    <col min="12545" max="12545" width="7.140625" style="634" customWidth="1"/>
    <col min="12546" max="12546" width="50" style="634" customWidth="1"/>
    <col min="12547" max="12547" width="13.140625" style="634" customWidth="1"/>
    <col min="12548" max="12548" width="11.140625" style="634" bestFit="1" customWidth="1"/>
    <col min="12549" max="12549" width="11.42578125" style="634" customWidth="1"/>
    <col min="12550" max="12550" width="12" style="634" customWidth="1"/>
    <col min="12551" max="12551" width="11.42578125" style="634" customWidth="1"/>
    <col min="12552" max="12552" width="14.140625" style="634" customWidth="1"/>
    <col min="12553" max="12800" width="9.140625" style="634"/>
    <col min="12801" max="12801" width="7.140625" style="634" customWidth="1"/>
    <col min="12802" max="12802" width="50" style="634" customWidth="1"/>
    <col min="12803" max="12803" width="13.140625" style="634" customWidth="1"/>
    <col min="12804" max="12804" width="11.140625" style="634" bestFit="1" customWidth="1"/>
    <col min="12805" max="12805" width="11.42578125" style="634" customWidth="1"/>
    <col min="12806" max="12806" width="12" style="634" customWidth="1"/>
    <col min="12807" max="12807" width="11.42578125" style="634" customWidth="1"/>
    <col min="12808" max="12808" width="14.140625" style="634" customWidth="1"/>
    <col min="12809" max="13056" width="9.140625" style="634"/>
    <col min="13057" max="13057" width="7.140625" style="634" customWidth="1"/>
    <col min="13058" max="13058" width="50" style="634" customWidth="1"/>
    <col min="13059" max="13059" width="13.140625" style="634" customWidth="1"/>
    <col min="13060" max="13060" width="11.140625" style="634" bestFit="1" customWidth="1"/>
    <col min="13061" max="13061" width="11.42578125" style="634" customWidth="1"/>
    <col min="13062" max="13062" width="12" style="634" customWidth="1"/>
    <col min="13063" max="13063" width="11.42578125" style="634" customWidth="1"/>
    <col min="13064" max="13064" width="14.140625" style="634" customWidth="1"/>
    <col min="13065" max="13312" width="9.140625" style="634"/>
    <col min="13313" max="13313" width="7.140625" style="634" customWidth="1"/>
    <col min="13314" max="13314" width="50" style="634" customWidth="1"/>
    <col min="13315" max="13315" width="13.140625" style="634" customWidth="1"/>
    <col min="13316" max="13316" width="11.140625" style="634" bestFit="1" customWidth="1"/>
    <col min="13317" max="13317" width="11.42578125" style="634" customWidth="1"/>
    <col min="13318" max="13318" width="12" style="634" customWidth="1"/>
    <col min="13319" max="13319" width="11.42578125" style="634" customWidth="1"/>
    <col min="13320" max="13320" width="14.140625" style="634" customWidth="1"/>
    <col min="13321" max="13568" width="9.140625" style="634"/>
    <col min="13569" max="13569" width="7.140625" style="634" customWidth="1"/>
    <col min="13570" max="13570" width="50" style="634" customWidth="1"/>
    <col min="13571" max="13571" width="13.140625" style="634" customWidth="1"/>
    <col min="13572" max="13572" width="11.140625" style="634" bestFit="1" customWidth="1"/>
    <col min="13573" max="13573" width="11.42578125" style="634" customWidth="1"/>
    <col min="13574" max="13574" width="12" style="634" customWidth="1"/>
    <col min="13575" max="13575" width="11.42578125" style="634" customWidth="1"/>
    <col min="13576" max="13576" width="14.140625" style="634" customWidth="1"/>
    <col min="13577" max="13824" width="9.140625" style="634"/>
    <col min="13825" max="13825" width="7.140625" style="634" customWidth="1"/>
    <col min="13826" max="13826" width="50" style="634" customWidth="1"/>
    <col min="13827" max="13827" width="13.140625" style="634" customWidth="1"/>
    <col min="13828" max="13828" width="11.140625" style="634" bestFit="1" customWidth="1"/>
    <col min="13829" max="13829" width="11.42578125" style="634" customWidth="1"/>
    <col min="13830" max="13830" width="12" style="634" customWidth="1"/>
    <col min="13831" max="13831" width="11.42578125" style="634" customWidth="1"/>
    <col min="13832" max="13832" width="14.140625" style="634" customWidth="1"/>
    <col min="13833" max="14080" width="9.140625" style="634"/>
    <col min="14081" max="14081" width="7.140625" style="634" customWidth="1"/>
    <col min="14082" max="14082" width="50" style="634" customWidth="1"/>
    <col min="14083" max="14083" width="13.140625" style="634" customWidth="1"/>
    <col min="14084" max="14084" width="11.140625" style="634" bestFit="1" customWidth="1"/>
    <col min="14085" max="14085" width="11.42578125" style="634" customWidth="1"/>
    <col min="14086" max="14086" width="12" style="634" customWidth="1"/>
    <col min="14087" max="14087" width="11.42578125" style="634" customWidth="1"/>
    <col min="14088" max="14088" width="14.140625" style="634" customWidth="1"/>
    <col min="14089" max="14336" width="9.140625" style="634"/>
    <col min="14337" max="14337" width="7.140625" style="634" customWidth="1"/>
    <col min="14338" max="14338" width="50" style="634" customWidth="1"/>
    <col min="14339" max="14339" width="13.140625" style="634" customWidth="1"/>
    <col min="14340" max="14340" width="11.140625" style="634" bestFit="1" customWidth="1"/>
    <col min="14341" max="14341" width="11.42578125" style="634" customWidth="1"/>
    <col min="14342" max="14342" width="12" style="634" customWidth="1"/>
    <col min="14343" max="14343" width="11.42578125" style="634" customWidth="1"/>
    <col min="14344" max="14344" width="14.140625" style="634" customWidth="1"/>
    <col min="14345" max="14592" width="9.140625" style="634"/>
    <col min="14593" max="14593" width="7.140625" style="634" customWidth="1"/>
    <col min="14594" max="14594" width="50" style="634" customWidth="1"/>
    <col min="14595" max="14595" width="13.140625" style="634" customWidth="1"/>
    <col min="14596" max="14596" width="11.140625" style="634" bestFit="1" customWidth="1"/>
    <col min="14597" max="14597" width="11.42578125" style="634" customWidth="1"/>
    <col min="14598" max="14598" width="12" style="634" customWidth="1"/>
    <col min="14599" max="14599" width="11.42578125" style="634" customWidth="1"/>
    <col min="14600" max="14600" width="14.140625" style="634" customWidth="1"/>
    <col min="14601" max="14848" width="9.140625" style="634"/>
    <col min="14849" max="14849" width="7.140625" style="634" customWidth="1"/>
    <col min="14850" max="14850" width="50" style="634" customWidth="1"/>
    <col min="14851" max="14851" width="13.140625" style="634" customWidth="1"/>
    <col min="14852" max="14852" width="11.140625" style="634" bestFit="1" customWidth="1"/>
    <col min="14853" max="14853" width="11.42578125" style="634" customWidth="1"/>
    <col min="14854" max="14854" width="12" style="634" customWidth="1"/>
    <col min="14855" max="14855" width="11.42578125" style="634" customWidth="1"/>
    <col min="14856" max="14856" width="14.140625" style="634" customWidth="1"/>
    <col min="14857" max="15104" width="9.140625" style="634"/>
    <col min="15105" max="15105" width="7.140625" style="634" customWidth="1"/>
    <col min="15106" max="15106" width="50" style="634" customWidth="1"/>
    <col min="15107" max="15107" width="13.140625" style="634" customWidth="1"/>
    <col min="15108" max="15108" width="11.140625" style="634" bestFit="1" customWidth="1"/>
    <col min="15109" max="15109" width="11.42578125" style="634" customWidth="1"/>
    <col min="15110" max="15110" width="12" style="634" customWidth="1"/>
    <col min="15111" max="15111" width="11.42578125" style="634" customWidth="1"/>
    <col min="15112" max="15112" width="14.140625" style="634" customWidth="1"/>
    <col min="15113" max="15360" width="9.140625" style="634"/>
    <col min="15361" max="15361" width="7.140625" style="634" customWidth="1"/>
    <col min="15362" max="15362" width="50" style="634" customWidth="1"/>
    <col min="15363" max="15363" width="13.140625" style="634" customWidth="1"/>
    <col min="15364" max="15364" width="11.140625" style="634" bestFit="1" customWidth="1"/>
    <col min="15365" max="15365" width="11.42578125" style="634" customWidth="1"/>
    <col min="15366" max="15366" width="12" style="634" customWidth="1"/>
    <col min="15367" max="15367" width="11.42578125" style="634" customWidth="1"/>
    <col min="15368" max="15368" width="14.140625" style="634" customWidth="1"/>
    <col min="15369" max="15616" width="9.140625" style="634"/>
    <col min="15617" max="15617" width="7.140625" style="634" customWidth="1"/>
    <col min="15618" max="15618" width="50" style="634" customWidth="1"/>
    <col min="15619" max="15619" width="13.140625" style="634" customWidth="1"/>
    <col min="15620" max="15620" width="11.140625" style="634" bestFit="1" customWidth="1"/>
    <col min="15621" max="15621" width="11.42578125" style="634" customWidth="1"/>
    <col min="15622" max="15622" width="12" style="634" customWidth="1"/>
    <col min="15623" max="15623" width="11.42578125" style="634" customWidth="1"/>
    <col min="15624" max="15624" width="14.140625" style="634" customWidth="1"/>
    <col min="15625" max="15872" width="9.140625" style="634"/>
    <col min="15873" max="15873" width="7.140625" style="634" customWidth="1"/>
    <col min="15874" max="15874" width="50" style="634" customWidth="1"/>
    <col min="15875" max="15875" width="13.140625" style="634" customWidth="1"/>
    <col min="15876" max="15876" width="11.140625" style="634" bestFit="1" customWidth="1"/>
    <col min="15877" max="15877" width="11.42578125" style="634" customWidth="1"/>
    <col min="15878" max="15878" width="12" style="634" customWidth="1"/>
    <col min="15879" max="15879" width="11.42578125" style="634" customWidth="1"/>
    <col min="15880" max="15880" width="14.140625" style="634" customWidth="1"/>
    <col min="15881" max="16128" width="9.140625" style="634"/>
    <col min="16129" max="16129" width="7.140625" style="634" customWidth="1"/>
    <col min="16130" max="16130" width="50" style="634" customWidth="1"/>
    <col min="16131" max="16131" width="13.140625" style="634" customWidth="1"/>
    <col min="16132" max="16132" width="11.140625" style="634" bestFit="1" customWidth="1"/>
    <col min="16133" max="16133" width="11.42578125" style="634" customWidth="1"/>
    <col min="16134" max="16134" width="12" style="634" customWidth="1"/>
    <col min="16135" max="16135" width="11.42578125" style="634" customWidth="1"/>
    <col min="16136" max="16136" width="14.140625" style="634" customWidth="1"/>
    <col min="16137" max="16384" width="9.140625" style="634"/>
  </cols>
  <sheetData>
    <row r="2" spans="1:8" x14ac:dyDescent="0.2">
      <c r="A2" s="1046" t="s">
        <v>1040</v>
      </c>
      <c r="B2" s="1046"/>
      <c r="C2" s="1046"/>
      <c r="D2" s="1046"/>
      <c r="E2" s="1046"/>
      <c r="F2" s="1046"/>
      <c r="G2" s="1046"/>
      <c r="H2" s="1046"/>
    </row>
    <row r="3" spans="1:8" x14ac:dyDescent="0.2">
      <c r="A3" s="635"/>
      <c r="B3" s="635"/>
      <c r="C3" s="635"/>
      <c r="D3" s="635"/>
      <c r="E3" s="635"/>
      <c r="F3" s="635"/>
      <c r="G3" s="635"/>
      <c r="H3" s="635"/>
    </row>
    <row r="4" spans="1:8" x14ac:dyDescent="0.2">
      <c r="A4" s="635"/>
      <c r="B4" s="1046" t="s">
        <v>1927</v>
      </c>
      <c r="C4" s="1047"/>
      <c r="D4" s="1047"/>
      <c r="E4" s="1047"/>
      <c r="F4" s="1047"/>
      <c r="G4" s="1047"/>
      <c r="H4" s="1047"/>
    </row>
    <row r="5" spans="1:8" x14ac:dyDescent="0.2">
      <c r="H5" s="634" t="s">
        <v>514</v>
      </c>
    </row>
    <row r="6" spans="1:8" ht="50.1" customHeight="1" x14ac:dyDescent="0.2">
      <c r="A6" s="636" t="s">
        <v>1041</v>
      </c>
      <c r="B6" s="636" t="s">
        <v>15</v>
      </c>
      <c r="C6" s="637" t="s">
        <v>1928</v>
      </c>
      <c r="D6" s="637" t="s">
        <v>1042</v>
      </c>
      <c r="E6" s="637" t="s">
        <v>1043</v>
      </c>
      <c r="F6" s="637" t="s">
        <v>1044</v>
      </c>
      <c r="G6" s="637" t="s">
        <v>1929</v>
      </c>
      <c r="H6" s="636" t="s">
        <v>1045</v>
      </c>
    </row>
    <row r="7" spans="1:8" ht="27.95" customHeight="1" x14ac:dyDescent="0.2">
      <c r="A7" s="709" t="s">
        <v>2</v>
      </c>
      <c r="B7" s="710" t="s">
        <v>1046</v>
      </c>
      <c r="C7" s="638">
        <v>560539480</v>
      </c>
      <c r="D7" s="638">
        <v>532000000</v>
      </c>
      <c r="E7" s="638">
        <v>532000000</v>
      </c>
      <c r="F7" s="638">
        <v>532000000</v>
      </c>
      <c r="G7" s="638">
        <v>532000000</v>
      </c>
      <c r="H7" s="639">
        <f t="shared" ref="H7:H15" si="0">SUM(D7:G7)</f>
        <v>2128000000</v>
      </c>
    </row>
    <row r="8" spans="1:8" ht="27.95" customHeight="1" x14ac:dyDescent="0.2">
      <c r="A8" s="709" t="s">
        <v>4</v>
      </c>
      <c r="B8" s="710" t="s">
        <v>1930</v>
      </c>
      <c r="C8" s="640">
        <v>11126430</v>
      </c>
      <c r="D8" s="638">
        <v>6000000</v>
      </c>
      <c r="E8" s="638">
        <v>6000000</v>
      </c>
      <c r="F8" s="638">
        <v>6000000</v>
      </c>
      <c r="G8" s="638">
        <v>6000000</v>
      </c>
      <c r="H8" s="639">
        <f t="shared" si="0"/>
        <v>24000000</v>
      </c>
    </row>
    <row r="9" spans="1:8" ht="27.95" customHeight="1" x14ac:dyDescent="0.2">
      <c r="A9" s="709" t="s">
        <v>5</v>
      </c>
      <c r="B9" s="710" t="s">
        <v>1047</v>
      </c>
      <c r="C9" s="638">
        <v>1241049</v>
      </c>
      <c r="D9" s="638">
        <v>500000</v>
      </c>
      <c r="E9" s="638">
        <v>500000</v>
      </c>
      <c r="F9" s="638">
        <v>500000</v>
      </c>
      <c r="G9" s="638">
        <v>500000</v>
      </c>
      <c r="H9" s="639">
        <f t="shared" si="0"/>
        <v>2000000</v>
      </c>
    </row>
    <row r="10" spans="1:8" ht="27.95" customHeight="1" x14ac:dyDescent="0.2">
      <c r="A10" s="709" t="s">
        <v>6</v>
      </c>
      <c r="B10" s="710" t="s">
        <v>1048</v>
      </c>
      <c r="C10" s="638">
        <v>2317000</v>
      </c>
      <c r="D10" s="638"/>
      <c r="E10" s="638"/>
      <c r="F10" s="638"/>
      <c r="G10" s="638"/>
      <c r="H10" s="639">
        <f t="shared" si="0"/>
        <v>0</v>
      </c>
    </row>
    <row r="11" spans="1:8" ht="27.95" customHeight="1" x14ac:dyDescent="0.2">
      <c r="A11" s="709" t="s">
        <v>8</v>
      </c>
      <c r="B11" s="710" t="s">
        <v>1049</v>
      </c>
      <c r="C11" s="638"/>
      <c r="D11" s="638"/>
      <c r="E11" s="638"/>
      <c r="F11" s="638"/>
      <c r="G11" s="638"/>
      <c r="H11" s="639">
        <f t="shared" si="0"/>
        <v>0</v>
      </c>
    </row>
    <row r="12" spans="1:8" ht="27.95" customHeight="1" x14ac:dyDescent="0.2">
      <c r="A12" s="709" t="s">
        <v>21</v>
      </c>
      <c r="B12" s="710" t="s">
        <v>1050</v>
      </c>
      <c r="C12" s="638"/>
      <c r="D12" s="638"/>
      <c r="E12" s="638"/>
      <c r="F12" s="638"/>
      <c r="G12" s="638"/>
      <c r="H12" s="639">
        <f t="shared" si="0"/>
        <v>0</v>
      </c>
    </row>
    <row r="13" spans="1:8" ht="27.95" customHeight="1" x14ac:dyDescent="0.2">
      <c r="A13" s="709" t="s">
        <v>17</v>
      </c>
      <c r="B13" s="710" t="s">
        <v>1051</v>
      </c>
      <c r="C13" s="638"/>
      <c r="D13" s="638"/>
      <c r="E13" s="638"/>
      <c r="F13" s="638"/>
      <c r="G13" s="638"/>
      <c r="H13" s="639">
        <f t="shared" si="0"/>
        <v>0</v>
      </c>
    </row>
    <row r="14" spans="1:8" ht="27.95" customHeight="1" x14ac:dyDescent="0.2">
      <c r="A14" s="1044" t="s">
        <v>1052</v>
      </c>
      <c r="B14" s="1045"/>
      <c r="C14" s="641">
        <f>SUM(C7:C13)</f>
        <v>575223959</v>
      </c>
      <c r="D14" s="641">
        <f>SUM(D7:D13)</f>
        <v>538500000</v>
      </c>
      <c r="E14" s="641">
        <f>SUM(E7:E13)</f>
        <v>538500000</v>
      </c>
      <c r="F14" s="641">
        <f>SUM(F7:F13)</f>
        <v>538500000</v>
      </c>
      <c r="G14" s="641">
        <f>SUM(G7:G13)</f>
        <v>538500000</v>
      </c>
      <c r="H14" s="641">
        <f t="shared" si="0"/>
        <v>2154000000</v>
      </c>
    </row>
    <row r="15" spans="1:8" ht="27.95" customHeight="1" x14ac:dyDescent="0.2">
      <c r="A15" s="1044" t="s">
        <v>1053</v>
      </c>
      <c r="B15" s="1045"/>
      <c r="C15" s="641">
        <f>SUM(C14/2)</f>
        <v>287611979.5</v>
      </c>
      <c r="D15" s="641">
        <f>SUM(D14/2)</f>
        <v>269250000</v>
      </c>
      <c r="E15" s="641">
        <f>SUM(E14/2)</f>
        <v>269250000</v>
      </c>
      <c r="F15" s="641">
        <f>SUM(F14/2)</f>
        <v>269250000</v>
      </c>
      <c r="G15" s="641">
        <f>SUM(G14/2)</f>
        <v>269250000</v>
      </c>
      <c r="H15" s="641">
        <f t="shared" si="0"/>
        <v>1077000000</v>
      </c>
    </row>
    <row r="16" spans="1:8" ht="27.95" customHeight="1" x14ac:dyDescent="0.2">
      <c r="A16" s="1048" t="s">
        <v>1054</v>
      </c>
      <c r="B16" s="1049"/>
      <c r="C16" s="638"/>
      <c r="D16" s="638"/>
      <c r="E16" s="638"/>
      <c r="F16" s="638"/>
      <c r="G16" s="638"/>
      <c r="H16" s="639">
        <f t="shared" ref="H16:H34" si="1">SUM(D16:G16)</f>
        <v>0</v>
      </c>
    </row>
    <row r="17" spans="1:8" ht="27.95" customHeight="1" x14ac:dyDescent="0.2">
      <c r="A17" s="709" t="s">
        <v>22</v>
      </c>
      <c r="B17" s="710" t="s">
        <v>1055</v>
      </c>
      <c r="C17" s="638">
        <v>11012017</v>
      </c>
      <c r="D17" s="638">
        <v>19947462</v>
      </c>
      <c r="E17" s="638">
        <v>19462862</v>
      </c>
      <c r="F17" s="638">
        <v>18968263</v>
      </c>
      <c r="G17" s="638">
        <v>18470672</v>
      </c>
      <c r="H17" s="639">
        <f t="shared" si="1"/>
        <v>76849259</v>
      </c>
    </row>
    <row r="18" spans="1:8" ht="27.95" customHeight="1" x14ac:dyDescent="0.2">
      <c r="A18" s="709" t="s">
        <v>257</v>
      </c>
      <c r="B18" s="710" t="s">
        <v>1056</v>
      </c>
      <c r="C18" s="638"/>
      <c r="D18" s="638"/>
      <c r="E18" s="638"/>
      <c r="F18" s="638"/>
      <c r="G18" s="638"/>
      <c r="H18" s="639">
        <f t="shared" si="1"/>
        <v>0</v>
      </c>
    </row>
    <row r="19" spans="1:8" ht="27.95" customHeight="1" x14ac:dyDescent="0.2">
      <c r="A19" s="709" t="s">
        <v>18</v>
      </c>
      <c r="B19" s="710" t="s">
        <v>1057</v>
      </c>
      <c r="C19" s="638"/>
      <c r="D19" s="638"/>
      <c r="E19" s="638"/>
      <c r="F19" s="638"/>
      <c r="G19" s="638"/>
      <c r="H19" s="639">
        <f t="shared" si="1"/>
        <v>0</v>
      </c>
    </row>
    <row r="20" spans="1:8" ht="27.95" customHeight="1" x14ac:dyDescent="0.2">
      <c r="A20" s="709" t="s">
        <v>155</v>
      </c>
      <c r="B20" s="710" t="s">
        <v>1058</v>
      </c>
      <c r="C20" s="638"/>
      <c r="D20" s="638"/>
      <c r="E20" s="638"/>
      <c r="F20" s="638"/>
      <c r="G20" s="638"/>
      <c r="H20" s="639">
        <f t="shared" si="1"/>
        <v>0</v>
      </c>
    </row>
    <row r="21" spans="1:8" ht="27.95" customHeight="1" x14ac:dyDescent="0.2">
      <c r="A21" s="709" t="s">
        <v>35</v>
      </c>
      <c r="B21" s="710" t="s">
        <v>1059</v>
      </c>
      <c r="C21" s="638"/>
      <c r="D21" s="638"/>
      <c r="E21" s="638"/>
      <c r="F21" s="638"/>
      <c r="G21" s="638"/>
      <c r="H21" s="639">
        <f t="shared" si="1"/>
        <v>0</v>
      </c>
    </row>
    <row r="22" spans="1:8" ht="27.95" customHeight="1" x14ac:dyDescent="0.2">
      <c r="A22" s="709" t="s">
        <v>281</v>
      </c>
      <c r="B22" s="711" t="s">
        <v>1060</v>
      </c>
      <c r="C22" s="638">
        <v>3640747</v>
      </c>
      <c r="D22" s="638"/>
      <c r="E22" s="638"/>
      <c r="F22" s="638"/>
      <c r="G22" s="638"/>
      <c r="H22" s="639">
        <f t="shared" si="1"/>
        <v>0</v>
      </c>
    </row>
    <row r="23" spans="1:8" ht="27.95" customHeight="1" x14ac:dyDescent="0.2">
      <c r="A23" s="709" t="s">
        <v>282</v>
      </c>
      <c r="B23" s="710" t="s">
        <v>1061</v>
      </c>
      <c r="C23" s="638"/>
      <c r="D23" s="638"/>
      <c r="E23" s="638"/>
      <c r="F23" s="638"/>
      <c r="G23" s="638"/>
      <c r="H23" s="639">
        <f t="shared" si="1"/>
        <v>0</v>
      </c>
    </row>
    <row r="24" spans="1:8" ht="27.95" customHeight="1" x14ac:dyDescent="0.2">
      <c r="A24" s="709" t="s">
        <v>283</v>
      </c>
      <c r="B24" s="710" t="s">
        <v>1062</v>
      </c>
      <c r="C24" s="638"/>
      <c r="D24" s="638"/>
      <c r="E24" s="638"/>
      <c r="F24" s="638"/>
      <c r="G24" s="638"/>
      <c r="H24" s="639">
        <f t="shared" si="1"/>
        <v>0</v>
      </c>
    </row>
    <row r="25" spans="1:8" ht="27.95" customHeight="1" x14ac:dyDescent="0.2">
      <c r="A25" s="1048" t="s">
        <v>1063</v>
      </c>
      <c r="B25" s="1049"/>
      <c r="C25" s="638"/>
      <c r="D25" s="638"/>
      <c r="E25" s="638"/>
      <c r="F25" s="638"/>
      <c r="G25" s="638"/>
      <c r="H25" s="639">
        <f t="shared" si="1"/>
        <v>0</v>
      </c>
    </row>
    <row r="26" spans="1:8" ht="27.95" customHeight="1" x14ac:dyDescent="0.2">
      <c r="A26" s="709" t="s">
        <v>219</v>
      </c>
      <c r="B26" s="710" t="s">
        <v>1064</v>
      </c>
      <c r="C26" s="638"/>
      <c r="D26" s="638"/>
      <c r="E26" s="638"/>
      <c r="F26" s="638"/>
      <c r="G26" s="638"/>
      <c r="H26" s="639">
        <f t="shared" si="1"/>
        <v>0</v>
      </c>
    </row>
    <row r="27" spans="1:8" ht="27.95" customHeight="1" x14ac:dyDescent="0.2">
      <c r="A27" s="709" t="s">
        <v>297</v>
      </c>
      <c r="B27" s="710" t="s">
        <v>1056</v>
      </c>
      <c r="C27" s="638"/>
      <c r="D27" s="638"/>
      <c r="E27" s="638"/>
      <c r="F27" s="638"/>
      <c r="G27" s="638"/>
      <c r="H27" s="639">
        <f t="shared" si="1"/>
        <v>0</v>
      </c>
    </row>
    <row r="28" spans="1:8" ht="27.95" customHeight="1" x14ac:dyDescent="0.2">
      <c r="A28" s="709" t="s">
        <v>298</v>
      </c>
      <c r="B28" s="710" t="s">
        <v>1057</v>
      </c>
      <c r="C28" s="638"/>
      <c r="D28" s="638"/>
      <c r="E28" s="638"/>
      <c r="F28" s="638"/>
      <c r="G28" s="638"/>
      <c r="H28" s="639">
        <f t="shared" si="1"/>
        <v>0</v>
      </c>
    </row>
    <row r="29" spans="1:8" ht="27.95" customHeight="1" x14ac:dyDescent="0.2">
      <c r="A29" s="709" t="s">
        <v>763</v>
      </c>
      <c r="B29" s="710" t="s">
        <v>1058</v>
      </c>
      <c r="C29" s="638"/>
      <c r="D29" s="638"/>
      <c r="E29" s="638"/>
      <c r="F29" s="638"/>
      <c r="G29" s="638"/>
      <c r="H29" s="639">
        <f t="shared" si="1"/>
        <v>0</v>
      </c>
    </row>
    <row r="30" spans="1:8" ht="27.95" customHeight="1" x14ac:dyDescent="0.2">
      <c r="A30" s="709" t="s">
        <v>764</v>
      </c>
      <c r="B30" s="710" t="s">
        <v>1059</v>
      </c>
      <c r="C30" s="638"/>
      <c r="D30" s="638"/>
      <c r="E30" s="638"/>
      <c r="F30" s="638"/>
      <c r="G30" s="638"/>
      <c r="H30" s="639">
        <f t="shared" si="1"/>
        <v>0</v>
      </c>
    </row>
    <row r="31" spans="1:8" ht="27.95" customHeight="1" x14ac:dyDescent="0.2">
      <c r="A31" s="709" t="s">
        <v>765</v>
      </c>
      <c r="B31" s="710" t="s">
        <v>1061</v>
      </c>
      <c r="C31" s="638"/>
      <c r="D31" s="638"/>
      <c r="E31" s="638"/>
      <c r="F31" s="638"/>
      <c r="G31" s="638"/>
      <c r="H31" s="639">
        <f t="shared" si="1"/>
        <v>0</v>
      </c>
    </row>
    <row r="32" spans="1:8" ht="27.95" customHeight="1" x14ac:dyDescent="0.2">
      <c r="A32" s="709" t="s">
        <v>766</v>
      </c>
      <c r="B32" s="710" t="s">
        <v>1062</v>
      </c>
      <c r="C32" s="638"/>
      <c r="D32" s="638"/>
      <c r="E32" s="638"/>
      <c r="F32" s="638"/>
      <c r="G32" s="638"/>
      <c r="H32" s="639">
        <f t="shared" si="1"/>
        <v>0</v>
      </c>
    </row>
    <row r="33" spans="1:8" ht="27.95" customHeight="1" x14ac:dyDescent="0.2">
      <c r="A33" s="1044" t="s">
        <v>1065</v>
      </c>
      <c r="B33" s="1045"/>
      <c r="C33" s="641">
        <f>C17+C18+C19+C20+C21+C23+C24+C26+C27+C28+C29+C30+C31+C32</f>
        <v>11012017</v>
      </c>
      <c r="D33" s="641">
        <f>D17+D18+D19+D20+D21+D23+D24+D26+D27+D28+D29+D30+D31+D32</f>
        <v>19947462</v>
      </c>
      <c r="E33" s="641">
        <f>E17+E18+E19+E20+E21+E23+E24+E26+E27+E28+E29+E30+E31+E32</f>
        <v>19462862</v>
      </c>
      <c r="F33" s="641">
        <f>F17+F18+F19+F20+F21+F23+F24+F26+F27+F28+F29+F30+F31+F32</f>
        <v>18968263</v>
      </c>
      <c r="G33" s="641">
        <f>G17+G18+G19+G20+G21+G23+G24+G26+G27+G28+G29+G30+G31+G32</f>
        <v>18470672</v>
      </c>
      <c r="H33" s="641">
        <f t="shared" si="1"/>
        <v>76849259</v>
      </c>
    </row>
    <row r="34" spans="1:8" ht="27.95" customHeight="1" x14ac:dyDescent="0.2">
      <c r="A34" s="1044" t="s">
        <v>1066</v>
      </c>
      <c r="B34" s="1045"/>
      <c r="C34" s="641">
        <f>SUM(C15-C33)</f>
        <v>276599962.5</v>
      </c>
      <c r="D34" s="641">
        <f>SUM(D15-D33)</f>
        <v>249302538</v>
      </c>
      <c r="E34" s="641">
        <f>SUM(E15-E33)</f>
        <v>249787138</v>
      </c>
      <c r="F34" s="641">
        <f>SUM(F15-F33)</f>
        <v>250281737</v>
      </c>
      <c r="G34" s="641">
        <f>SUM(G15-G33)</f>
        <v>250779328</v>
      </c>
      <c r="H34" s="641">
        <f t="shared" si="1"/>
        <v>1000150741</v>
      </c>
    </row>
    <row r="36" spans="1:8" x14ac:dyDescent="0.2">
      <c r="B36" s="642"/>
    </row>
  </sheetData>
  <mergeCells count="8">
    <mergeCell ref="A33:B33"/>
    <mergeCell ref="A34:B34"/>
    <mergeCell ref="A2:H2"/>
    <mergeCell ref="B4:H4"/>
    <mergeCell ref="A14:B14"/>
    <mergeCell ref="A15:B15"/>
    <mergeCell ref="A16:B16"/>
    <mergeCell ref="A25:B25"/>
  </mergeCells>
  <pageMargins left="0.43307086614173229" right="0.31496062992125984" top="0.78740157480314965" bottom="0.23622047244094491" header="0.51181102362204722" footer="0.15748031496062992"/>
  <pageSetup paperSize="9" scale="70" orientation="portrait" r:id="rId1"/>
  <headerFooter alignWithMargins="0">
    <oddHeader>&amp;C&amp;12 11/2019. (V.17.)  számú költségvetési rendelethez&amp;R&amp;A</oddHead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67"/>
  <sheetViews>
    <sheetView view="pageLayout" topLeftCell="B1" zoomScale="75" zoomScaleNormal="100" zoomScaleSheetLayoutView="100" zoomScalePageLayoutView="75" workbookViewId="0">
      <selection activeCell="M39" sqref="M39"/>
    </sheetView>
  </sheetViews>
  <sheetFormatPr defaultColWidth="9.140625" defaultRowHeight="14.25" x14ac:dyDescent="0.2"/>
  <cols>
    <col min="1" max="1" width="76.5703125" style="72" customWidth="1"/>
    <col min="2" max="2" width="9.140625" style="72"/>
    <col min="3" max="3" width="13" style="72" customWidth="1"/>
    <col min="4" max="4" width="12.85546875" style="72" customWidth="1"/>
    <col min="5" max="5" width="9.5703125" style="72" customWidth="1"/>
    <col min="6" max="6" width="12.28515625" style="72" customWidth="1"/>
    <col min="7" max="10" width="15.140625" style="72" customWidth="1"/>
    <col min="11" max="11" width="15.28515625" style="72" customWidth="1"/>
    <col min="12" max="12" width="12.85546875" style="72" customWidth="1"/>
    <col min="13" max="14" width="14.85546875" style="72" customWidth="1"/>
    <col min="15" max="16384" width="9.140625" style="72"/>
  </cols>
  <sheetData>
    <row r="1" spans="1:14" ht="42.75" customHeight="1" x14ac:dyDescent="0.2">
      <c r="A1" s="831" t="s">
        <v>37</v>
      </c>
      <c r="B1" s="834" t="s">
        <v>570</v>
      </c>
      <c r="C1" s="835"/>
      <c r="D1" s="836"/>
      <c r="E1" s="834" t="s">
        <v>578</v>
      </c>
      <c r="F1" s="835"/>
      <c r="G1" s="836"/>
      <c r="H1" s="834" t="s">
        <v>1934</v>
      </c>
      <c r="I1" s="835"/>
      <c r="J1" s="837"/>
      <c r="K1" s="834" t="s">
        <v>892</v>
      </c>
      <c r="L1" s="835"/>
      <c r="M1" s="837"/>
      <c r="N1" s="844" t="s">
        <v>891</v>
      </c>
    </row>
    <row r="2" spans="1:14" s="85" customFormat="1" ht="30" x14ac:dyDescent="0.2">
      <c r="A2" s="832"/>
      <c r="B2" s="846" t="s">
        <v>177</v>
      </c>
      <c r="C2" s="706" t="s">
        <v>95</v>
      </c>
      <c r="D2" s="514" t="s">
        <v>178</v>
      </c>
      <c r="E2" s="846" t="s">
        <v>177</v>
      </c>
      <c r="F2" s="706" t="s">
        <v>95</v>
      </c>
      <c r="G2" s="514" t="s">
        <v>543</v>
      </c>
      <c r="H2" s="846" t="s">
        <v>177</v>
      </c>
      <c r="I2" s="706" t="s">
        <v>95</v>
      </c>
      <c r="J2" s="515" t="s">
        <v>543</v>
      </c>
      <c r="K2" s="846" t="s">
        <v>177</v>
      </c>
      <c r="L2" s="706" t="s">
        <v>95</v>
      </c>
      <c r="M2" s="515" t="s">
        <v>543</v>
      </c>
      <c r="N2" s="845"/>
    </row>
    <row r="3" spans="1:14" ht="15" x14ac:dyDescent="0.25">
      <c r="A3" s="833"/>
      <c r="B3" s="847"/>
      <c r="C3" s="516" t="s">
        <v>38</v>
      </c>
      <c r="D3" s="516" t="s">
        <v>343</v>
      </c>
      <c r="E3" s="847"/>
      <c r="F3" s="516" t="s">
        <v>38</v>
      </c>
      <c r="G3" s="516" t="s">
        <v>343</v>
      </c>
      <c r="H3" s="847"/>
      <c r="I3" s="516" t="s">
        <v>38</v>
      </c>
      <c r="J3" s="517" t="s">
        <v>343</v>
      </c>
      <c r="K3" s="847"/>
      <c r="L3" s="516" t="s">
        <v>38</v>
      </c>
      <c r="M3" s="517" t="s">
        <v>343</v>
      </c>
      <c r="N3" s="518" t="s">
        <v>343</v>
      </c>
    </row>
    <row r="4" spans="1:14" x14ac:dyDescent="0.2">
      <c r="A4" s="838" t="s">
        <v>80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40"/>
      <c r="N4" s="513"/>
    </row>
    <row r="5" spans="1:14" ht="15" x14ac:dyDescent="0.25">
      <c r="A5" s="83" t="s">
        <v>81</v>
      </c>
      <c r="B5" s="123">
        <v>16.760000000000002</v>
      </c>
      <c r="C5" s="124">
        <v>4580000</v>
      </c>
      <c r="D5" s="125">
        <v>76760800</v>
      </c>
      <c r="E5" s="123">
        <v>16.71</v>
      </c>
      <c r="F5" s="124">
        <v>4580000</v>
      </c>
      <c r="G5" s="125">
        <f>E5*F5</f>
        <v>76531800</v>
      </c>
      <c r="H5" s="123">
        <v>16.71</v>
      </c>
      <c r="I5" s="124">
        <v>4580000</v>
      </c>
      <c r="J5" s="491">
        <f>H5*I5</f>
        <v>76531800</v>
      </c>
      <c r="K5" s="123">
        <v>16.71</v>
      </c>
      <c r="L5" s="124">
        <v>4580000</v>
      </c>
      <c r="M5" s="491">
        <f>K5*L5</f>
        <v>76531800</v>
      </c>
      <c r="N5" s="519">
        <f>M5-J5</f>
        <v>0</v>
      </c>
    </row>
    <row r="6" spans="1:14" ht="15" x14ac:dyDescent="0.25">
      <c r="A6" s="83" t="s">
        <v>82</v>
      </c>
      <c r="B6" s="124"/>
      <c r="C6" s="124"/>
      <c r="D6" s="125"/>
      <c r="E6" s="124"/>
      <c r="F6" s="124"/>
      <c r="G6" s="125"/>
      <c r="H6" s="124"/>
      <c r="I6" s="124"/>
      <c r="J6" s="491"/>
      <c r="K6" s="124"/>
      <c r="L6" s="124"/>
      <c r="M6" s="491"/>
      <c r="N6" s="519">
        <f t="shared" ref="N6:N67" si="0">M6-J6</f>
        <v>0</v>
      </c>
    </row>
    <row r="7" spans="1:14" ht="15" x14ac:dyDescent="0.25">
      <c r="A7" s="83" t="s">
        <v>222</v>
      </c>
      <c r="B7" s="124"/>
      <c r="C7" s="124"/>
      <c r="D7" s="125"/>
      <c r="E7" s="124"/>
      <c r="F7" s="124"/>
      <c r="G7" s="125">
        <f>G9+G11+G13+G15</f>
        <v>0</v>
      </c>
      <c r="H7" s="124"/>
      <c r="I7" s="124"/>
      <c r="J7" s="491">
        <f>J9+J11+J13+J15</f>
        <v>0</v>
      </c>
      <c r="K7" s="124"/>
      <c r="L7" s="124"/>
      <c r="M7" s="491">
        <f>M9+M11+M13+M15</f>
        <v>0</v>
      </c>
      <c r="N7" s="519">
        <f t="shared" si="0"/>
        <v>0</v>
      </c>
    </row>
    <row r="8" spans="1:14" x14ac:dyDescent="0.2">
      <c r="A8" s="84" t="s">
        <v>83</v>
      </c>
      <c r="B8" s="73"/>
      <c r="C8" s="74"/>
      <c r="D8" s="75">
        <v>7550780</v>
      </c>
      <c r="E8" s="73"/>
      <c r="F8" s="74"/>
      <c r="G8" s="75">
        <v>7619910</v>
      </c>
      <c r="H8" s="73"/>
      <c r="I8" s="74"/>
      <c r="J8" s="492">
        <v>7619910</v>
      </c>
      <c r="K8" s="73"/>
      <c r="L8" s="74"/>
      <c r="M8" s="492">
        <v>7619910</v>
      </c>
      <c r="N8" s="519">
        <f t="shared" si="0"/>
        <v>0</v>
      </c>
    </row>
    <row r="9" spans="1:14" x14ac:dyDescent="0.2">
      <c r="A9" s="84" t="s">
        <v>103</v>
      </c>
      <c r="B9" s="73"/>
      <c r="C9" s="74"/>
      <c r="D9" s="75"/>
      <c r="E9" s="73"/>
      <c r="F9" s="74"/>
      <c r="G9" s="75"/>
      <c r="H9" s="73"/>
      <c r="I9" s="74"/>
      <c r="J9" s="492"/>
      <c r="K9" s="73"/>
      <c r="L9" s="74"/>
      <c r="M9" s="492"/>
      <c r="N9" s="519">
        <f t="shared" si="0"/>
        <v>0</v>
      </c>
    </row>
    <row r="10" spans="1:14" x14ac:dyDescent="0.2">
      <c r="A10" s="84" t="s">
        <v>84</v>
      </c>
      <c r="B10" s="76"/>
      <c r="C10" s="76"/>
      <c r="D10" s="75">
        <v>14912000</v>
      </c>
      <c r="E10" s="76"/>
      <c r="F10" s="76"/>
      <c r="G10" s="75">
        <v>15008000</v>
      </c>
      <c r="H10" s="76"/>
      <c r="I10" s="76"/>
      <c r="J10" s="492">
        <v>15008000</v>
      </c>
      <c r="K10" s="76"/>
      <c r="L10" s="76"/>
      <c r="M10" s="492">
        <v>15008000</v>
      </c>
      <c r="N10" s="519">
        <f t="shared" si="0"/>
        <v>0</v>
      </c>
    </row>
    <row r="11" spans="1:14" x14ac:dyDescent="0.2">
      <c r="A11" s="84" t="s">
        <v>104</v>
      </c>
      <c r="B11" s="76"/>
      <c r="C11" s="76"/>
      <c r="D11" s="75"/>
      <c r="E11" s="76"/>
      <c r="F11" s="76"/>
      <c r="G11" s="75"/>
      <c r="H11" s="76"/>
      <c r="I11" s="76"/>
      <c r="J11" s="492"/>
      <c r="K11" s="76"/>
      <c r="L11" s="76"/>
      <c r="M11" s="492"/>
      <c r="N11" s="519">
        <f t="shared" si="0"/>
        <v>0</v>
      </c>
    </row>
    <row r="12" spans="1:14" x14ac:dyDescent="0.2">
      <c r="A12" s="84" t="s">
        <v>85</v>
      </c>
      <c r="B12" s="76"/>
      <c r="C12" s="76"/>
      <c r="D12" s="75">
        <v>672681</v>
      </c>
      <c r="E12" s="76"/>
      <c r="F12" s="76"/>
      <c r="G12" s="75">
        <v>672681</v>
      </c>
      <c r="H12" s="76"/>
      <c r="I12" s="76"/>
      <c r="J12" s="492">
        <v>672681</v>
      </c>
      <c r="K12" s="76"/>
      <c r="L12" s="76"/>
      <c r="M12" s="492">
        <v>672681</v>
      </c>
      <c r="N12" s="519">
        <f t="shared" si="0"/>
        <v>0</v>
      </c>
    </row>
    <row r="13" spans="1:14" x14ac:dyDescent="0.2">
      <c r="A13" s="84" t="s">
        <v>105</v>
      </c>
      <c r="B13" s="76"/>
      <c r="C13" s="76"/>
      <c r="D13" s="75"/>
      <c r="E13" s="76"/>
      <c r="F13" s="76"/>
      <c r="G13" s="75"/>
      <c r="H13" s="76"/>
      <c r="I13" s="76"/>
      <c r="J13" s="492"/>
      <c r="K13" s="76"/>
      <c r="L13" s="76"/>
      <c r="M13" s="492"/>
      <c r="N13" s="519">
        <f t="shared" si="0"/>
        <v>0</v>
      </c>
    </row>
    <row r="14" spans="1:14" x14ac:dyDescent="0.2">
      <c r="A14" s="84" t="s">
        <v>86</v>
      </c>
      <c r="B14" s="76"/>
      <c r="C14" s="76"/>
      <c r="D14" s="75">
        <v>7209520</v>
      </c>
      <c r="E14" s="76"/>
      <c r="F14" s="76"/>
      <c r="G14" s="75">
        <v>7243570</v>
      </c>
      <c r="H14" s="76"/>
      <c r="I14" s="76"/>
      <c r="J14" s="492">
        <v>7243570</v>
      </c>
      <c r="K14" s="76"/>
      <c r="L14" s="76"/>
      <c r="M14" s="492">
        <v>7243570</v>
      </c>
      <c r="N14" s="519">
        <f t="shared" si="0"/>
        <v>0</v>
      </c>
    </row>
    <row r="15" spans="1:14" x14ac:dyDescent="0.2">
      <c r="A15" s="84" t="s">
        <v>86</v>
      </c>
      <c r="B15" s="76"/>
      <c r="C15" s="76"/>
      <c r="D15" s="75"/>
      <c r="E15" s="76"/>
      <c r="F15" s="76"/>
      <c r="G15" s="75"/>
      <c r="H15" s="76"/>
      <c r="I15" s="76"/>
      <c r="J15" s="492"/>
      <c r="K15" s="76"/>
      <c r="L15" s="76"/>
      <c r="M15" s="492"/>
      <c r="N15" s="519">
        <f t="shared" si="0"/>
        <v>0</v>
      </c>
    </row>
    <row r="16" spans="1:14" ht="15" x14ac:dyDescent="0.2">
      <c r="A16" s="83" t="s">
        <v>262</v>
      </c>
      <c r="B16" s="77"/>
      <c r="C16" s="77"/>
      <c r="D16" s="78"/>
      <c r="E16" s="77"/>
      <c r="F16" s="77"/>
      <c r="G16" s="78"/>
      <c r="H16" s="77"/>
      <c r="I16" s="77"/>
      <c r="J16" s="493"/>
      <c r="K16" s="77"/>
      <c r="L16" s="77"/>
      <c r="M16" s="493"/>
      <c r="N16" s="519">
        <f t="shared" si="0"/>
        <v>0</v>
      </c>
    </row>
    <row r="17" spans="1:14" ht="15" x14ac:dyDescent="0.2">
      <c r="A17" s="83" t="s">
        <v>263</v>
      </c>
      <c r="B17" s="77"/>
      <c r="C17" s="77"/>
      <c r="D17" s="78">
        <v>6669000</v>
      </c>
      <c r="E17" s="77"/>
      <c r="F17" s="77"/>
      <c r="G17" s="78">
        <v>6636600</v>
      </c>
      <c r="H17" s="77"/>
      <c r="I17" s="77"/>
      <c r="J17" s="493">
        <v>6636600</v>
      </c>
      <c r="K17" s="77"/>
      <c r="L17" s="77"/>
      <c r="M17" s="493">
        <v>6636600</v>
      </c>
      <c r="N17" s="519">
        <f t="shared" si="0"/>
        <v>0</v>
      </c>
    </row>
    <row r="18" spans="1:14" ht="14.25" customHeight="1" x14ac:dyDescent="0.2">
      <c r="A18" s="83" t="s">
        <v>266</v>
      </c>
      <c r="B18" s="77"/>
      <c r="C18" s="77"/>
      <c r="D18" s="78"/>
      <c r="E18" s="77"/>
      <c r="F18" s="77"/>
      <c r="G18" s="78"/>
      <c r="H18" s="77"/>
      <c r="I18" s="77"/>
      <c r="J18" s="493"/>
      <c r="K18" s="77"/>
      <c r="L18" s="77"/>
      <c r="M18" s="493"/>
      <c r="N18" s="519">
        <f t="shared" si="0"/>
        <v>0</v>
      </c>
    </row>
    <row r="19" spans="1:14" ht="14.25" customHeight="1" x14ac:dyDescent="0.2">
      <c r="A19" s="83" t="s">
        <v>264</v>
      </c>
      <c r="B19" s="77"/>
      <c r="C19" s="77"/>
      <c r="D19" s="78">
        <v>953700</v>
      </c>
      <c r="E19" s="77"/>
      <c r="F19" s="77"/>
      <c r="G19" s="78">
        <v>943500</v>
      </c>
      <c r="H19" s="77"/>
      <c r="I19" s="77"/>
      <c r="J19" s="493">
        <v>943500</v>
      </c>
      <c r="K19" s="77"/>
      <c r="L19" s="77"/>
      <c r="M19" s="493">
        <v>943500</v>
      </c>
      <c r="N19" s="519">
        <f t="shared" si="0"/>
        <v>0</v>
      </c>
    </row>
    <row r="20" spans="1:14" ht="14.25" customHeight="1" x14ac:dyDescent="0.2">
      <c r="A20" s="83" t="s">
        <v>265</v>
      </c>
      <c r="B20" s="77"/>
      <c r="C20" s="77"/>
      <c r="D20" s="78"/>
      <c r="E20" s="77"/>
      <c r="F20" s="77"/>
      <c r="G20" s="78"/>
      <c r="H20" s="77"/>
      <c r="I20" s="77"/>
      <c r="J20" s="493"/>
      <c r="K20" s="77"/>
      <c r="L20" s="77"/>
      <c r="M20" s="493"/>
      <c r="N20" s="519">
        <f t="shared" si="0"/>
        <v>0</v>
      </c>
    </row>
    <row r="21" spans="1:14" ht="14.25" customHeight="1" x14ac:dyDescent="0.2">
      <c r="A21" s="83" t="s">
        <v>267</v>
      </c>
      <c r="B21" s="77"/>
      <c r="C21" s="77"/>
      <c r="D21" s="78">
        <v>160021000</v>
      </c>
      <c r="E21" s="77"/>
      <c r="F21" s="77"/>
      <c r="G21" s="78">
        <v>181056570</v>
      </c>
      <c r="H21" s="77"/>
      <c r="I21" s="77"/>
      <c r="J21" s="493">
        <v>181056570</v>
      </c>
      <c r="K21" s="77"/>
      <c r="L21" s="77"/>
      <c r="M21" s="493">
        <v>181056570</v>
      </c>
      <c r="N21" s="519">
        <f t="shared" si="0"/>
        <v>0</v>
      </c>
    </row>
    <row r="22" spans="1:14" ht="14.25" customHeight="1" x14ac:dyDescent="0.2">
      <c r="A22" s="83" t="s">
        <v>268</v>
      </c>
      <c r="B22" s="77"/>
      <c r="C22" s="77"/>
      <c r="D22" s="78">
        <v>154097949</v>
      </c>
      <c r="E22" s="77"/>
      <c r="F22" s="77"/>
      <c r="G22" s="78">
        <v>176208897</v>
      </c>
      <c r="H22" s="77"/>
      <c r="I22" s="77"/>
      <c r="J22" s="493">
        <v>176208897</v>
      </c>
      <c r="K22" s="77"/>
      <c r="L22" s="77"/>
      <c r="M22" s="493">
        <v>176208897</v>
      </c>
      <c r="N22" s="519">
        <f t="shared" si="0"/>
        <v>0</v>
      </c>
    </row>
    <row r="23" spans="1:14" ht="14.25" customHeight="1" x14ac:dyDescent="0.2">
      <c r="A23" s="83" t="s">
        <v>663</v>
      </c>
      <c r="B23" s="77"/>
      <c r="C23" s="77"/>
      <c r="D23" s="78">
        <v>357251</v>
      </c>
      <c r="E23" s="77"/>
      <c r="F23" s="77"/>
      <c r="G23" s="78"/>
      <c r="H23" s="77"/>
      <c r="I23" s="77"/>
      <c r="J23" s="493">
        <v>303658</v>
      </c>
      <c r="K23" s="77"/>
      <c r="L23" s="77"/>
      <c r="M23" s="493">
        <v>303658</v>
      </c>
      <c r="N23" s="519">
        <f t="shared" si="0"/>
        <v>0</v>
      </c>
    </row>
    <row r="24" spans="1:14" ht="14.25" customHeight="1" x14ac:dyDescent="0.2">
      <c r="A24" s="83" t="s">
        <v>269</v>
      </c>
      <c r="B24" s="77"/>
      <c r="C24" s="77"/>
      <c r="D24" s="78">
        <v>-43890732</v>
      </c>
      <c r="E24" s="77"/>
      <c r="F24" s="77"/>
      <c r="G24" s="78">
        <v>-42971934</v>
      </c>
      <c r="H24" s="77"/>
      <c r="I24" s="77"/>
      <c r="J24" s="493">
        <v>-42971934</v>
      </c>
      <c r="K24" s="77"/>
      <c r="L24" s="77"/>
      <c r="M24" s="493">
        <v>-42971934</v>
      </c>
      <c r="N24" s="519">
        <f t="shared" si="0"/>
        <v>0</v>
      </c>
    </row>
    <row r="25" spans="1:14" ht="15" x14ac:dyDescent="0.25">
      <c r="A25" s="218" t="s">
        <v>87</v>
      </c>
      <c r="B25" s="219"/>
      <c r="C25" s="219"/>
      <c r="D25" s="220">
        <f>D5+D7+D22+D23</f>
        <v>231216000</v>
      </c>
      <c r="E25" s="219"/>
      <c r="F25" s="219"/>
      <c r="G25" s="220">
        <f>G5+G7+G22+G23</f>
        <v>252740697</v>
      </c>
      <c r="H25" s="219"/>
      <c r="I25" s="219"/>
      <c r="J25" s="494">
        <f>J5+J7+J22+J23</f>
        <v>253044355</v>
      </c>
      <c r="K25" s="219"/>
      <c r="L25" s="219"/>
      <c r="M25" s="494">
        <f>M5+M7+M22+M23</f>
        <v>253044355</v>
      </c>
      <c r="N25" s="520">
        <f t="shared" si="0"/>
        <v>0</v>
      </c>
    </row>
    <row r="26" spans="1:14" ht="15" customHeight="1" x14ac:dyDescent="0.2">
      <c r="A26" s="841" t="s">
        <v>88</v>
      </c>
      <c r="B26" s="842"/>
      <c r="C26" s="842"/>
      <c r="D26" s="842"/>
      <c r="E26" s="842"/>
      <c r="F26" s="842"/>
      <c r="G26" s="842"/>
      <c r="H26" s="842"/>
      <c r="I26" s="842"/>
      <c r="J26" s="842"/>
      <c r="K26" s="842"/>
      <c r="L26" s="842"/>
      <c r="M26" s="842"/>
      <c r="N26" s="843"/>
    </row>
    <row r="27" spans="1:14" x14ac:dyDescent="0.2">
      <c r="A27" s="107" t="s">
        <v>498</v>
      </c>
      <c r="B27" s="186">
        <v>7.5</v>
      </c>
      <c r="C27" s="126">
        <v>4469900</v>
      </c>
      <c r="D27" s="127">
        <v>32779267</v>
      </c>
      <c r="E27" s="186">
        <v>7.16</v>
      </c>
      <c r="F27" s="126">
        <v>4419000</v>
      </c>
      <c r="G27" s="127">
        <v>31669500</v>
      </c>
      <c r="H27" s="186">
        <v>7.1</v>
      </c>
      <c r="I27" s="126">
        <v>4419000</v>
      </c>
      <c r="J27" s="495">
        <v>31374900</v>
      </c>
      <c r="K27" s="186">
        <v>7.1</v>
      </c>
      <c r="L27" s="126">
        <v>4419000</v>
      </c>
      <c r="M27" s="495">
        <v>31374900</v>
      </c>
      <c r="N27" s="519">
        <f t="shared" si="0"/>
        <v>0</v>
      </c>
    </row>
    <row r="28" spans="1:14" x14ac:dyDescent="0.2">
      <c r="A28" s="107" t="s">
        <v>499</v>
      </c>
      <c r="B28" s="186">
        <v>7.6</v>
      </c>
      <c r="C28" s="126"/>
      <c r="D28" s="127">
        <v>267400</v>
      </c>
      <c r="E28" s="186"/>
      <c r="F28" s="126"/>
      <c r="G28" s="127"/>
      <c r="H28" s="186"/>
      <c r="I28" s="126"/>
      <c r="J28" s="495"/>
      <c r="K28" s="186"/>
      <c r="L28" s="126"/>
      <c r="M28" s="495"/>
      <c r="N28" s="519">
        <f t="shared" si="0"/>
        <v>0</v>
      </c>
    </row>
    <row r="29" spans="1:14" x14ac:dyDescent="0.2">
      <c r="A29" s="203" t="s">
        <v>500</v>
      </c>
      <c r="B29" s="187">
        <v>4</v>
      </c>
      <c r="C29" s="126">
        <v>1800000</v>
      </c>
      <c r="D29" s="127">
        <v>7200000</v>
      </c>
      <c r="E29" s="187">
        <v>4</v>
      </c>
      <c r="F29" s="126">
        <v>2205000</v>
      </c>
      <c r="G29" s="127">
        <v>8820000</v>
      </c>
      <c r="H29" s="187">
        <v>4</v>
      </c>
      <c r="I29" s="126">
        <v>2205000</v>
      </c>
      <c r="J29" s="495">
        <v>8820000</v>
      </c>
      <c r="K29" s="187">
        <v>4</v>
      </c>
      <c r="L29" s="126">
        <v>2205000</v>
      </c>
      <c r="M29" s="495">
        <v>8820000</v>
      </c>
      <c r="N29" s="519">
        <f t="shared" si="0"/>
        <v>0</v>
      </c>
    </row>
    <row r="30" spans="1:14" x14ac:dyDescent="0.2">
      <c r="A30" s="205" t="s">
        <v>571</v>
      </c>
      <c r="B30" s="202"/>
      <c r="C30" s="200"/>
      <c r="D30" s="201">
        <v>1949500</v>
      </c>
      <c r="E30" s="202">
        <v>4</v>
      </c>
      <c r="F30" s="200">
        <v>666500</v>
      </c>
      <c r="G30" s="201">
        <v>2666000</v>
      </c>
      <c r="H30" s="202">
        <v>5</v>
      </c>
      <c r="I30" s="200">
        <v>606716</v>
      </c>
      <c r="J30" s="496">
        <v>3033584</v>
      </c>
      <c r="K30" s="202">
        <v>5</v>
      </c>
      <c r="L30" s="200">
        <v>606716</v>
      </c>
      <c r="M30" s="496">
        <v>3033584</v>
      </c>
      <c r="N30" s="519">
        <f t="shared" si="0"/>
        <v>0</v>
      </c>
    </row>
    <row r="31" spans="1:14" x14ac:dyDescent="0.2">
      <c r="A31" s="204" t="s">
        <v>501</v>
      </c>
      <c r="B31" s="188">
        <v>75</v>
      </c>
      <c r="C31" s="128">
        <v>80000</v>
      </c>
      <c r="D31" s="129">
        <v>6454300</v>
      </c>
      <c r="E31" s="188">
        <v>75</v>
      </c>
      <c r="F31" s="128">
        <v>81700</v>
      </c>
      <c r="G31" s="129">
        <v>6181967</v>
      </c>
      <c r="H31" s="188">
        <v>75</v>
      </c>
      <c r="I31" s="128">
        <v>81700</v>
      </c>
      <c r="J31" s="497">
        <v>6127500</v>
      </c>
      <c r="K31" s="188">
        <v>75</v>
      </c>
      <c r="L31" s="128">
        <v>81700</v>
      </c>
      <c r="M31" s="497">
        <v>6127500</v>
      </c>
      <c r="N31" s="519">
        <f t="shared" si="0"/>
        <v>0</v>
      </c>
    </row>
    <row r="32" spans="1:14" ht="15" x14ac:dyDescent="0.25">
      <c r="A32" s="221" t="s">
        <v>89</v>
      </c>
      <c r="B32" s="222"/>
      <c r="C32" s="222"/>
      <c r="D32" s="222">
        <f>SUM(D27:D31)</f>
        <v>48650467</v>
      </c>
      <c r="E32" s="222"/>
      <c r="F32" s="222"/>
      <c r="G32" s="222">
        <f>SUM(G27:G31)</f>
        <v>49337467</v>
      </c>
      <c r="H32" s="222"/>
      <c r="I32" s="222"/>
      <c r="J32" s="498">
        <f>SUM(J27:J31)</f>
        <v>49355984</v>
      </c>
      <c r="K32" s="222"/>
      <c r="L32" s="222"/>
      <c r="M32" s="498">
        <f>SUM(M27:M31)</f>
        <v>49355984</v>
      </c>
      <c r="N32" s="520">
        <f t="shared" si="0"/>
        <v>0</v>
      </c>
    </row>
    <row r="33" spans="1:14" ht="15" customHeight="1" x14ac:dyDescent="0.2">
      <c r="A33" s="820" t="s">
        <v>90</v>
      </c>
      <c r="B33" s="821"/>
      <c r="C33" s="821"/>
      <c r="D33" s="821"/>
      <c r="E33" s="821"/>
      <c r="F33" s="821"/>
      <c r="G33" s="821"/>
      <c r="H33" s="821"/>
      <c r="I33" s="821"/>
      <c r="J33" s="821"/>
      <c r="K33" s="821"/>
      <c r="L33" s="821"/>
      <c r="M33" s="821"/>
      <c r="N33" s="822"/>
    </row>
    <row r="34" spans="1:14" x14ac:dyDescent="0.2">
      <c r="A34" s="383" t="s">
        <v>645</v>
      </c>
      <c r="B34" s="384"/>
      <c r="C34" s="385"/>
      <c r="D34" s="385"/>
      <c r="E34" s="384"/>
      <c r="F34" s="385"/>
      <c r="G34" s="385"/>
      <c r="H34" s="384"/>
      <c r="I34" s="385"/>
      <c r="J34" s="499"/>
      <c r="K34" s="384"/>
      <c r="L34" s="385"/>
      <c r="M34" s="499"/>
      <c r="N34" s="519">
        <f t="shared" si="0"/>
        <v>0</v>
      </c>
    </row>
    <row r="35" spans="1:14" x14ac:dyDescent="0.2">
      <c r="A35" s="383" t="s">
        <v>572</v>
      </c>
      <c r="B35" s="386"/>
      <c r="C35" s="387"/>
      <c r="D35" s="387">
        <v>3000000</v>
      </c>
      <c r="E35" s="386"/>
      <c r="F35" s="387"/>
      <c r="G35" s="387">
        <v>3400000</v>
      </c>
      <c r="H35" s="386"/>
      <c r="I35" s="387"/>
      <c r="J35" s="500">
        <v>3400000</v>
      </c>
      <c r="K35" s="386"/>
      <c r="L35" s="387"/>
      <c r="M35" s="500">
        <v>3400000</v>
      </c>
      <c r="N35" s="519">
        <f t="shared" si="0"/>
        <v>0</v>
      </c>
    </row>
    <row r="36" spans="1:14" x14ac:dyDescent="0.2">
      <c r="A36" s="383" t="s">
        <v>93</v>
      </c>
      <c r="B36" s="388">
        <v>70</v>
      </c>
      <c r="C36" s="389">
        <v>55360</v>
      </c>
      <c r="D36" s="387">
        <v>3875200</v>
      </c>
      <c r="E36" s="388">
        <v>70</v>
      </c>
      <c r="F36" s="389">
        <v>55360</v>
      </c>
      <c r="G36" s="387">
        <v>3875200</v>
      </c>
      <c r="H36" s="388">
        <v>70</v>
      </c>
      <c r="I36" s="389">
        <v>55360</v>
      </c>
      <c r="J36" s="500">
        <v>3875200</v>
      </c>
      <c r="K36" s="388">
        <v>73</v>
      </c>
      <c r="L36" s="387">
        <v>55360</v>
      </c>
      <c r="M36" s="500">
        <v>4041280</v>
      </c>
      <c r="N36" s="519">
        <f t="shared" si="0"/>
        <v>166080</v>
      </c>
    </row>
    <row r="37" spans="1:14" x14ac:dyDescent="0.2">
      <c r="A37" s="390" t="s">
        <v>91</v>
      </c>
      <c r="B37" s="391">
        <v>27</v>
      </c>
      <c r="C37" s="392"/>
      <c r="D37" s="387">
        <v>13414815</v>
      </c>
      <c r="E37" s="391">
        <v>4.3</v>
      </c>
      <c r="F37" s="392">
        <v>2993000</v>
      </c>
      <c r="G37" s="387">
        <v>12869900</v>
      </c>
      <c r="H37" s="391">
        <v>4.3</v>
      </c>
      <c r="I37" s="392">
        <v>2993000</v>
      </c>
      <c r="J37" s="500">
        <v>12869900</v>
      </c>
      <c r="K37" s="391">
        <v>4.7</v>
      </c>
      <c r="L37" s="522">
        <v>2993000</v>
      </c>
      <c r="M37" s="500">
        <v>14067100</v>
      </c>
      <c r="N37" s="519">
        <f t="shared" si="0"/>
        <v>1197200</v>
      </c>
    </row>
    <row r="38" spans="1:14" x14ac:dyDescent="0.2">
      <c r="A38" s="393" t="s">
        <v>106</v>
      </c>
      <c r="B38" s="391"/>
      <c r="C38" s="392"/>
      <c r="D38" s="387">
        <f>B38*C38</f>
        <v>0</v>
      </c>
      <c r="E38" s="391"/>
      <c r="F38" s="392"/>
      <c r="G38" s="387">
        <f>E38*F38</f>
        <v>0</v>
      </c>
      <c r="H38" s="391"/>
      <c r="I38" s="392"/>
      <c r="J38" s="500">
        <f>H38*I38</f>
        <v>0</v>
      </c>
      <c r="K38" s="391"/>
      <c r="L38" s="522"/>
      <c r="M38" s="500">
        <f>K38*L38</f>
        <v>0</v>
      </c>
      <c r="N38" s="519">
        <f t="shared" si="0"/>
        <v>0</v>
      </c>
    </row>
    <row r="39" spans="1:14" x14ac:dyDescent="0.2">
      <c r="A39" s="394" t="s">
        <v>107</v>
      </c>
      <c r="B39" s="130">
        <v>7.43</v>
      </c>
      <c r="C39" s="392">
        <v>1632000</v>
      </c>
      <c r="D39" s="387">
        <v>12125760</v>
      </c>
      <c r="E39" s="130">
        <v>7.44</v>
      </c>
      <c r="F39" s="392">
        <v>1900000</v>
      </c>
      <c r="G39" s="387">
        <v>14136000</v>
      </c>
      <c r="H39" s="130">
        <v>7.44</v>
      </c>
      <c r="I39" s="392">
        <v>1900000</v>
      </c>
      <c r="J39" s="500">
        <v>14136000</v>
      </c>
      <c r="K39" s="130">
        <v>7.17</v>
      </c>
      <c r="L39" s="522">
        <v>1900000</v>
      </c>
      <c r="M39" s="500">
        <v>13623000</v>
      </c>
      <c r="N39" s="519">
        <f t="shared" si="0"/>
        <v>-513000</v>
      </c>
    </row>
    <row r="40" spans="1:14" x14ac:dyDescent="0.2">
      <c r="A40" s="394" t="s">
        <v>270</v>
      </c>
      <c r="B40" s="130"/>
      <c r="C40" s="392"/>
      <c r="D40" s="395">
        <v>2072918</v>
      </c>
      <c r="E40" s="130"/>
      <c r="F40" s="392"/>
      <c r="G40" s="395">
        <v>2415296</v>
      </c>
      <c r="H40" s="130"/>
      <c r="I40" s="392"/>
      <c r="J40" s="501">
        <v>2254277</v>
      </c>
      <c r="K40" s="130"/>
      <c r="L40" s="522"/>
      <c r="M40" s="501">
        <v>2254277</v>
      </c>
      <c r="N40" s="519">
        <f t="shared" si="0"/>
        <v>0</v>
      </c>
    </row>
    <row r="41" spans="1:14" x14ac:dyDescent="0.2">
      <c r="A41" s="394" t="s">
        <v>562</v>
      </c>
      <c r="B41" s="130"/>
      <c r="C41" s="392"/>
      <c r="D41" s="395">
        <v>23655</v>
      </c>
      <c r="E41" s="130">
        <v>384</v>
      </c>
      <c r="F41" s="392">
        <v>285</v>
      </c>
      <c r="G41" s="395">
        <v>99180</v>
      </c>
      <c r="H41" s="130">
        <v>155</v>
      </c>
      <c r="I41" s="392">
        <v>285</v>
      </c>
      <c r="J41" s="501">
        <v>44175</v>
      </c>
      <c r="K41" s="130">
        <v>119</v>
      </c>
      <c r="L41" s="522">
        <v>285</v>
      </c>
      <c r="M41" s="501">
        <v>33915</v>
      </c>
      <c r="N41" s="519">
        <f t="shared" si="0"/>
        <v>-10260</v>
      </c>
    </row>
    <row r="42" spans="1:14" x14ac:dyDescent="0.2">
      <c r="A42" s="394" t="s">
        <v>646</v>
      </c>
      <c r="B42" s="130"/>
      <c r="C42" s="392"/>
      <c r="D42" s="395"/>
      <c r="E42" s="130"/>
      <c r="F42" s="392"/>
      <c r="G42" s="395"/>
      <c r="H42" s="130"/>
      <c r="I42" s="392"/>
      <c r="J42" s="501">
        <v>5506884</v>
      </c>
      <c r="K42" s="130"/>
      <c r="L42" s="522"/>
      <c r="M42" s="501">
        <v>5506884</v>
      </c>
      <c r="N42" s="519">
        <f t="shared" si="0"/>
        <v>0</v>
      </c>
    </row>
    <row r="43" spans="1:14" ht="15" x14ac:dyDescent="0.2">
      <c r="A43" s="396" t="s">
        <v>647</v>
      </c>
      <c r="B43" s="384"/>
      <c r="C43" s="397"/>
      <c r="D43" s="384"/>
      <c r="E43" s="384"/>
      <c r="F43" s="397"/>
      <c r="G43" s="384"/>
      <c r="H43" s="384"/>
      <c r="I43" s="397"/>
      <c r="J43" s="502"/>
      <c r="K43" s="384"/>
      <c r="L43" s="523"/>
      <c r="M43" s="502"/>
      <c r="N43" s="519">
        <f t="shared" si="0"/>
        <v>0</v>
      </c>
    </row>
    <row r="44" spans="1:14" x14ac:dyDescent="0.2">
      <c r="A44" s="394" t="s">
        <v>644</v>
      </c>
      <c r="B44" s="384">
        <v>52</v>
      </c>
      <c r="C44" s="397">
        <v>273000</v>
      </c>
      <c r="D44" s="384">
        <v>15196000</v>
      </c>
      <c r="E44" s="384">
        <v>5</v>
      </c>
      <c r="F44" s="397">
        <v>25000</v>
      </c>
      <c r="G44" s="384">
        <v>125000</v>
      </c>
      <c r="H44" s="384">
        <v>5</v>
      </c>
      <c r="I44" s="397">
        <v>25000</v>
      </c>
      <c r="J44" s="502">
        <v>125000</v>
      </c>
      <c r="K44" s="384">
        <v>3</v>
      </c>
      <c r="L44" s="523">
        <v>25000</v>
      </c>
      <c r="M44" s="502">
        <v>75000</v>
      </c>
      <c r="N44" s="519">
        <f t="shared" si="0"/>
        <v>-50000</v>
      </c>
    </row>
    <row r="45" spans="1:14" x14ac:dyDescent="0.2">
      <c r="A45" s="394" t="s">
        <v>582</v>
      </c>
      <c r="B45" s="384"/>
      <c r="C45" s="397"/>
      <c r="D45" s="384"/>
      <c r="E45" s="384">
        <v>27</v>
      </c>
      <c r="F45" s="397">
        <v>330000</v>
      </c>
      <c r="G45" s="384">
        <v>8910000</v>
      </c>
      <c r="H45" s="384">
        <v>21</v>
      </c>
      <c r="I45" s="397">
        <v>330000</v>
      </c>
      <c r="J45" s="502">
        <v>6930000</v>
      </c>
      <c r="K45" s="384">
        <v>27</v>
      </c>
      <c r="L45" s="523">
        <v>330000</v>
      </c>
      <c r="M45" s="502">
        <v>6930000</v>
      </c>
      <c r="N45" s="519">
        <f t="shared" si="0"/>
        <v>0</v>
      </c>
    </row>
    <row r="46" spans="1:14" x14ac:dyDescent="0.2">
      <c r="A46" s="394" t="s">
        <v>583</v>
      </c>
      <c r="B46" s="384"/>
      <c r="C46" s="397"/>
      <c r="D46" s="384"/>
      <c r="E46" s="384">
        <v>43</v>
      </c>
      <c r="F46" s="397">
        <v>429000</v>
      </c>
      <c r="G46" s="384">
        <v>18447000</v>
      </c>
      <c r="H46" s="384">
        <v>49</v>
      </c>
      <c r="I46" s="397">
        <v>429000</v>
      </c>
      <c r="J46" s="502">
        <v>21021000</v>
      </c>
      <c r="K46" s="384">
        <v>49</v>
      </c>
      <c r="L46" s="523">
        <v>429000</v>
      </c>
      <c r="M46" s="502">
        <v>21021000</v>
      </c>
      <c r="N46" s="519">
        <f t="shared" si="0"/>
        <v>0</v>
      </c>
    </row>
    <row r="47" spans="1:14" ht="15" x14ac:dyDescent="0.25">
      <c r="A47" s="398" t="s">
        <v>648</v>
      </c>
      <c r="B47" s="222"/>
      <c r="C47" s="222"/>
      <c r="D47" s="222">
        <f>SUM(D44:D46)</f>
        <v>15196000</v>
      </c>
      <c r="E47" s="222"/>
      <c r="F47" s="222"/>
      <c r="G47" s="222">
        <f>SUM(G44:G46)</f>
        <v>27482000</v>
      </c>
      <c r="H47" s="222"/>
      <c r="I47" s="222"/>
      <c r="J47" s="498">
        <f>SUM(J44:J46)</f>
        <v>28076000</v>
      </c>
      <c r="K47" s="222"/>
      <c r="L47" s="222"/>
      <c r="M47" s="498">
        <f>SUM(M44:M46)</f>
        <v>28026000</v>
      </c>
      <c r="N47" s="520">
        <f t="shared" si="0"/>
        <v>-50000</v>
      </c>
    </row>
    <row r="48" spans="1:14" ht="15" x14ac:dyDescent="0.25">
      <c r="A48" s="829" t="s">
        <v>92</v>
      </c>
      <c r="B48" s="830"/>
      <c r="C48" s="224"/>
      <c r="D48" s="225">
        <f>SUM(D34:D42)+D47</f>
        <v>49708348</v>
      </c>
      <c r="E48" s="223"/>
      <c r="F48" s="224"/>
      <c r="G48" s="225">
        <f>SUM(G34:G42)+G47</f>
        <v>64277576</v>
      </c>
      <c r="H48" s="223"/>
      <c r="I48" s="224"/>
      <c r="J48" s="503">
        <f>SUM(J34:J42)+J47</f>
        <v>70162436</v>
      </c>
      <c r="K48" s="223"/>
      <c r="L48" s="524"/>
      <c r="M48" s="503">
        <f>SUM(M34:M42)+M47</f>
        <v>70952456</v>
      </c>
      <c r="N48" s="520">
        <f t="shared" si="0"/>
        <v>790020</v>
      </c>
    </row>
    <row r="49" spans="1:14" ht="15" customHeight="1" x14ac:dyDescent="0.2">
      <c r="A49" s="823" t="s">
        <v>649</v>
      </c>
      <c r="B49" s="824"/>
      <c r="C49" s="824"/>
      <c r="D49" s="824"/>
      <c r="E49" s="824"/>
      <c r="F49" s="824"/>
      <c r="G49" s="824"/>
      <c r="H49" s="824"/>
      <c r="I49" s="824"/>
      <c r="J49" s="824"/>
      <c r="K49" s="824"/>
      <c r="L49" s="824"/>
      <c r="M49" s="824"/>
      <c r="N49" s="825"/>
    </row>
    <row r="50" spans="1:14" x14ac:dyDescent="0.2">
      <c r="A50" s="399" t="s">
        <v>650</v>
      </c>
      <c r="B50" s="379"/>
      <c r="C50" s="380"/>
      <c r="D50" s="382">
        <v>2815800</v>
      </c>
      <c r="E50" s="379"/>
      <c r="F50" s="380"/>
      <c r="G50" s="381">
        <v>2974180</v>
      </c>
      <c r="H50" s="379"/>
      <c r="I50" s="380"/>
      <c r="J50" s="504">
        <v>2974180</v>
      </c>
      <c r="K50" s="379"/>
      <c r="L50" s="525"/>
      <c r="M50" s="504">
        <v>2974180</v>
      </c>
      <c r="N50" s="519">
        <f t="shared" si="0"/>
        <v>0</v>
      </c>
    </row>
    <row r="51" spans="1:14" x14ac:dyDescent="0.2">
      <c r="A51" s="399" t="s">
        <v>651</v>
      </c>
      <c r="B51" s="379"/>
      <c r="C51" s="380"/>
      <c r="D51" s="382"/>
      <c r="E51" s="379"/>
      <c r="F51" s="380"/>
      <c r="G51" s="381"/>
      <c r="H51" s="379"/>
      <c r="I51" s="380"/>
      <c r="J51" s="504">
        <v>867745</v>
      </c>
      <c r="K51" s="379"/>
      <c r="L51" s="525"/>
      <c r="M51" s="504">
        <v>867745</v>
      </c>
      <c r="N51" s="519">
        <f t="shared" si="0"/>
        <v>0</v>
      </c>
    </row>
    <row r="52" spans="1:14" ht="15" x14ac:dyDescent="0.2">
      <c r="A52" s="400" t="s">
        <v>652</v>
      </c>
      <c r="B52" s="400"/>
      <c r="C52" s="400"/>
      <c r="D52" s="401">
        <f>SUM(D50:D51)</f>
        <v>2815800</v>
      </c>
      <c r="E52" s="400"/>
      <c r="F52" s="400"/>
      <c r="G52" s="401">
        <f>SUM(G50:G51)</f>
        <v>2974180</v>
      </c>
      <c r="H52" s="400"/>
      <c r="I52" s="400"/>
      <c r="J52" s="505">
        <f>SUM(J50:J51)</f>
        <v>3841925</v>
      </c>
      <c r="K52" s="400"/>
      <c r="L52" s="526"/>
      <c r="M52" s="505">
        <f>SUM(M50:M51)</f>
        <v>3841925</v>
      </c>
      <c r="N52" s="519">
        <f t="shared" si="0"/>
        <v>0</v>
      </c>
    </row>
    <row r="53" spans="1:14" ht="15" x14ac:dyDescent="0.2">
      <c r="A53" s="823" t="s">
        <v>300</v>
      </c>
      <c r="B53" s="824"/>
      <c r="C53" s="824"/>
      <c r="D53" s="824"/>
      <c r="E53" s="824"/>
      <c r="F53" s="824"/>
      <c r="G53" s="824"/>
      <c r="H53" s="824"/>
      <c r="I53" s="824"/>
      <c r="J53" s="824"/>
      <c r="K53" s="824"/>
      <c r="L53" s="824"/>
      <c r="M53" s="824"/>
      <c r="N53" s="825"/>
    </row>
    <row r="54" spans="1:14" x14ac:dyDescent="0.2">
      <c r="A54" s="403" t="s">
        <v>653</v>
      </c>
      <c r="B54" s="404"/>
      <c r="C54" s="404"/>
      <c r="D54" s="382"/>
      <c r="E54" s="382"/>
      <c r="F54" s="382"/>
      <c r="G54" s="382"/>
      <c r="H54" s="382"/>
      <c r="I54" s="382"/>
      <c r="J54" s="506">
        <v>2564242</v>
      </c>
      <c r="K54" s="382"/>
      <c r="L54" s="382"/>
      <c r="M54" s="506">
        <v>2564242</v>
      </c>
      <c r="N54" s="519">
        <f t="shared" si="0"/>
        <v>0</v>
      </c>
    </row>
    <row r="55" spans="1:14" x14ac:dyDescent="0.2">
      <c r="A55" s="403" t="s">
        <v>654</v>
      </c>
      <c r="B55" s="404"/>
      <c r="C55" s="404"/>
      <c r="D55" s="382"/>
      <c r="E55" s="382"/>
      <c r="F55" s="382"/>
      <c r="G55" s="382"/>
      <c r="H55" s="382"/>
      <c r="I55" s="382"/>
      <c r="J55" s="506">
        <v>670400</v>
      </c>
      <c r="K55" s="382"/>
      <c r="L55" s="382"/>
      <c r="M55" s="506">
        <v>670400</v>
      </c>
      <c r="N55" s="519">
        <f t="shared" si="0"/>
        <v>0</v>
      </c>
    </row>
    <row r="56" spans="1:14" x14ac:dyDescent="0.2">
      <c r="A56" s="403" t="s">
        <v>656</v>
      </c>
      <c r="B56" s="404"/>
      <c r="C56" s="404"/>
      <c r="D56" s="382"/>
      <c r="E56" s="382"/>
      <c r="F56" s="382"/>
      <c r="G56" s="382"/>
      <c r="H56" s="382"/>
      <c r="I56" s="382"/>
      <c r="J56" s="506">
        <v>817880</v>
      </c>
      <c r="K56" s="382"/>
      <c r="L56" s="382"/>
      <c r="M56" s="506">
        <v>817880</v>
      </c>
      <c r="N56" s="519">
        <f t="shared" si="0"/>
        <v>0</v>
      </c>
    </row>
    <row r="57" spans="1:14" x14ac:dyDescent="0.2">
      <c r="A57" s="403" t="s">
        <v>796</v>
      </c>
      <c r="B57" s="404"/>
      <c r="C57" s="404"/>
      <c r="D57" s="382"/>
      <c r="E57" s="382"/>
      <c r="F57" s="382"/>
      <c r="G57" s="382"/>
      <c r="H57" s="382"/>
      <c r="I57" s="382"/>
      <c r="J57" s="506">
        <v>3840480</v>
      </c>
      <c r="K57" s="382"/>
      <c r="L57" s="382"/>
      <c r="M57" s="506">
        <v>3840480</v>
      </c>
      <c r="N57" s="519">
        <f t="shared" ref="N57" si="1">M57-J57</f>
        <v>0</v>
      </c>
    </row>
    <row r="58" spans="1:14" x14ac:dyDescent="0.2">
      <c r="A58" s="403" t="s">
        <v>893</v>
      </c>
      <c r="B58" s="404"/>
      <c r="C58" s="404"/>
      <c r="D58" s="382"/>
      <c r="E58" s="382"/>
      <c r="F58" s="382"/>
      <c r="G58" s="382"/>
      <c r="H58" s="382"/>
      <c r="I58" s="382"/>
      <c r="J58" s="506">
        <v>612000</v>
      </c>
      <c r="K58" s="382"/>
      <c r="L58" s="382"/>
      <c r="M58" s="506">
        <v>612000</v>
      </c>
      <c r="N58" s="519">
        <f t="shared" si="0"/>
        <v>0</v>
      </c>
    </row>
    <row r="59" spans="1:14" ht="15" x14ac:dyDescent="0.2">
      <c r="A59" s="400" t="s">
        <v>655</v>
      </c>
      <c r="B59" s="405"/>
      <c r="C59" s="405"/>
      <c r="D59" s="401">
        <f>SUM(D54:D58)</f>
        <v>0</v>
      </c>
      <c r="E59" s="401"/>
      <c r="F59" s="401"/>
      <c r="G59" s="401">
        <f>SUM(G54:G58)</f>
        <v>0</v>
      </c>
      <c r="H59" s="401"/>
      <c r="I59" s="401"/>
      <c r="J59" s="505">
        <f>SUM(J54:J58)</f>
        <v>8505002</v>
      </c>
      <c r="K59" s="401"/>
      <c r="L59" s="401"/>
      <c r="M59" s="505">
        <f>SUM(M54:M58)</f>
        <v>8505002</v>
      </c>
      <c r="N59" s="520">
        <f t="shared" si="0"/>
        <v>0</v>
      </c>
    </row>
    <row r="60" spans="1:14" s="100" customFormat="1" ht="15" x14ac:dyDescent="0.25">
      <c r="A60" s="402" t="s">
        <v>94</v>
      </c>
      <c r="B60" s="167"/>
      <c r="C60" s="226"/>
      <c r="D60" s="407">
        <f>D25+D32+D48+D52+D59</f>
        <v>332390615</v>
      </c>
      <c r="E60" s="408"/>
      <c r="F60" s="409"/>
      <c r="G60" s="407">
        <f>G25+G32+G48+G52+G59</f>
        <v>369329920</v>
      </c>
      <c r="H60" s="407"/>
      <c r="I60" s="407"/>
      <c r="J60" s="507">
        <f>J25+J32+J48+J52+J59</f>
        <v>384909702</v>
      </c>
      <c r="K60" s="408"/>
      <c r="L60" s="409"/>
      <c r="M60" s="507">
        <f>M25+M32+M48+M52+M59</f>
        <v>385699722</v>
      </c>
      <c r="N60" s="521">
        <f t="shared" si="0"/>
        <v>790020</v>
      </c>
    </row>
    <row r="61" spans="1:14" ht="15" x14ac:dyDescent="0.25">
      <c r="A61" s="398" t="s">
        <v>657</v>
      </c>
      <c r="B61" s="222"/>
      <c r="C61" s="222"/>
      <c r="D61" s="410"/>
      <c r="E61" s="410"/>
      <c r="F61" s="410"/>
      <c r="G61" s="410"/>
      <c r="H61" s="410"/>
      <c r="I61" s="410"/>
      <c r="J61" s="508">
        <v>1102420</v>
      </c>
      <c r="K61" s="410"/>
      <c r="L61" s="410"/>
      <c r="M61" s="508">
        <v>1102420</v>
      </c>
      <c r="N61" s="519">
        <f t="shared" si="0"/>
        <v>0</v>
      </c>
    </row>
    <row r="62" spans="1:14" ht="15" x14ac:dyDescent="0.25">
      <c r="A62" s="402" t="s">
        <v>108</v>
      </c>
      <c r="B62" s="406"/>
      <c r="C62" s="406"/>
      <c r="D62" s="409">
        <f>D60+D61</f>
        <v>332390615</v>
      </c>
      <c r="E62" s="411"/>
      <c r="F62" s="411"/>
      <c r="G62" s="409">
        <f>G60+G61</f>
        <v>369329920</v>
      </c>
      <c r="H62" s="409"/>
      <c r="I62" s="409"/>
      <c r="J62" s="509">
        <f>J60+J61</f>
        <v>386012122</v>
      </c>
      <c r="K62" s="411"/>
      <c r="L62" s="411"/>
      <c r="M62" s="509">
        <f>M60+M61</f>
        <v>386802142</v>
      </c>
      <c r="N62" s="521">
        <f t="shared" si="0"/>
        <v>790020</v>
      </c>
    </row>
    <row r="63" spans="1:14" ht="15" x14ac:dyDescent="0.25">
      <c r="A63" s="826" t="s">
        <v>658</v>
      </c>
      <c r="B63" s="827"/>
      <c r="C63" s="827"/>
      <c r="D63" s="827"/>
      <c r="E63" s="827"/>
      <c r="F63" s="827"/>
      <c r="G63" s="827"/>
      <c r="H63" s="827"/>
      <c r="I63" s="827"/>
      <c r="J63" s="827"/>
      <c r="K63" s="827"/>
      <c r="L63" s="827"/>
      <c r="M63" s="827"/>
      <c r="N63" s="828"/>
    </row>
    <row r="64" spans="1:14" x14ac:dyDescent="0.2">
      <c r="A64" s="412" t="s">
        <v>659</v>
      </c>
      <c r="B64" s="413"/>
      <c r="C64" s="413"/>
      <c r="D64" s="415"/>
      <c r="E64" s="415"/>
      <c r="F64" s="415"/>
      <c r="G64" s="353">
        <v>14258924</v>
      </c>
      <c r="H64" s="353"/>
      <c r="I64" s="353"/>
      <c r="J64" s="510">
        <v>14258924</v>
      </c>
      <c r="K64" s="417"/>
      <c r="L64" s="417"/>
      <c r="M64" s="510">
        <v>14258924</v>
      </c>
      <c r="N64" s="519">
        <f t="shared" si="0"/>
        <v>0</v>
      </c>
    </row>
    <row r="65" spans="1:14" x14ac:dyDescent="0.2">
      <c r="A65" s="412" t="s">
        <v>660</v>
      </c>
      <c r="B65" s="413"/>
      <c r="C65" s="413"/>
      <c r="D65" s="415"/>
      <c r="E65" s="415"/>
      <c r="F65" s="415"/>
      <c r="G65" s="415"/>
      <c r="H65" s="415"/>
      <c r="I65" s="415"/>
      <c r="J65" s="511">
        <v>539315</v>
      </c>
      <c r="K65" s="415"/>
      <c r="L65" s="415"/>
      <c r="M65" s="511">
        <v>539315</v>
      </c>
      <c r="N65" s="519">
        <f t="shared" si="0"/>
        <v>0</v>
      </c>
    </row>
    <row r="66" spans="1:14" x14ac:dyDescent="0.2">
      <c r="A66" s="412" t="s">
        <v>661</v>
      </c>
      <c r="B66" s="413"/>
      <c r="C66" s="413"/>
      <c r="D66" s="415"/>
      <c r="E66" s="415"/>
      <c r="F66" s="415"/>
      <c r="G66" s="415"/>
      <c r="H66" s="415"/>
      <c r="I66" s="415"/>
      <c r="J66" s="511"/>
      <c r="K66" s="415"/>
      <c r="L66" s="415"/>
      <c r="M66" s="511"/>
      <c r="N66" s="519">
        <f t="shared" si="0"/>
        <v>0</v>
      </c>
    </row>
    <row r="67" spans="1:14" ht="15" x14ac:dyDescent="0.25">
      <c r="A67" s="414" t="s">
        <v>662</v>
      </c>
      <c r="B67" s="414"/>
      <c r="C67" s="414"/>
      <c r="D67" s="416">
        <f>SUM(D64:D66)</f>
        <v>0</v>
      </c>
      <c r="E67" s="416"/>
      <c r="F67" s="416"/>
      <c r="G67" s="416">
        <f>SUM(G64:G66)</f>
        <v>14258924</v>
      </c>
      <c r="H67" s="416"/>
      <c r="I67" s="416"/>
      <c r="J67" s="512">
        <f>SUM(J64:J66)</f>
        <v>14798239</v>
      </c>
      <c r="K67" s="416"/>
      <c r="L67" s="416"/>
      <c r="M67" s="512">
        <f>SUM(M64:M66)</f>
        <v>14798239</v>
      </c>
      <c r="N67" s="521">
        <f t="shared" si="0"/>
        <v>0</v>
      </c>
    </row>
  </sheetData>
  <mergeCells count="17">
    <mergeCell ref="A1:A3"/>
    <mergeCell ref="E1:G1"/>
    <mergeCell ref="K1:M1"/>
    <mergeCell ref="A4:M4"/>
    <mergeCell ref="A26:N26"/>
    <mergeCell ref="N1:N2"/>
    <mergeCell ref="H1:J1"/>
    <mergeCell ref="B2:B3"/>
    <mergeCell ref="E2:E3"/>
    <mergeCell ref="H2:H3"/>
    <mergeCell ref="K2:K3"/>
    <mergeCell ref="B1:D1"/>
    <mergeCell ref="A33:N33"/>
    <mergeCell ref="A53:N53"/>
    <mergeCell ref="A63:N63"/>
    <mergeCell ref="A49:N49"/>
    <mergeCell ref="A48:B48"/>
  </mergeCells>
  <phoneticPr fontId="26" type="noConversion"/>
  <printOptions horizontalCentered="1"/>
  <pageMargins left="0.23622047244094491" right="0.23622047244094491" top="1.1023622047244095" bottom="0.19685039370078741" header="0.19685039370078741" footer="0.19685039370078741"/>
  <pageSetup paperSize="8" scale="83" fitToHeight="0" orientation="landscape" horizontalDpi="4294967294" r:id="rId1"/>
  <headerFooter alignWithMargins="0">
    <oddHeader>&amp;C&amp;"Garamond,Félkövér"&amp;14 11/2019. (V.17.)  számú rendelethez 
ZALAKAROS VÁROS ÖNKORMÁNYZATÁNAK 
ÁLLAMI HOZZÁJÁRULÁSA 2018. ÉVBEN 
&amp;12
&amp;14
&amp;R&amp;A
&amp;P.oldal
forintban</oddHeader>
  </headerFooter>
  <rowBreaks count="1" manualBreakCount="1">
    <brk id="4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8"/>
  <sheetViews>
    <sheetView view="pageLayout" zoomScaleNormal="100" zoomScaleSheetLayoutView="100" workbookViewId="0">
      <selection activeCell="E6" sqref="E6"/>
    </sheetView>
  </sheetViews>
  <sheetFormatPr defaultRowHeight="12.75" x14ac:dyDescent="0.2"/>
  <cols>
    <col min="1" max="1" width="5.5703125" customWidth="1"/>
    <col min="2" max="2" width="29.85546875" customWidth="1"/>
    <col min="3" max="3" width="16.5703125" customWidth="1"/>
    <col min="4" max="4" width="16.28515625" customWidth="1"/>
    <col min="5" max="5" width="17.140625" customWidth="1"/>
    <col min="6" max="6" width="18.28515625" customWidth="1"/>
    <col min="7" max="7" width="21.140625" customWidth="1"/>
    <col min="8" max="8" width="15.85546875" customWidth="1"/>
    <col min="257" max="257" width="5.5703125" customWidth="1"/>
    <col min="258" max="258" width="29.85546875" customWidth="1"/>
    <col min="259" max="259" width="16.5703125" customWidth="1"/>
    <col min="260" max="260" width="16.28515625" customWidth="1"/>
    <col min="261" max="261" width="17.140625" customWidth="1"/>
    <col min="262" max="262" width="18.28515625" customWidth="1"/>
    <col min="263" max="263" width="17" customWidth="1"/>
    <col min="264" max="264" width="15.85546875" customWidth="1"/>
    <col min="513" max="513" width="5.5703125" customWidth="1"/>
    <col min="514" max="514" width="29.85546875" customWidth="1"/>
    <col min="515" max="515" width="16.5703125" customWidth="1"/>
    <col min="516" max="516" width="16.28515625" customWidth="1"/>
    <col min="517" max="517" width="17.140625" customWidth="1"/>
    <col min="518" max="518" width="18.28515625" customWidth="1"/>
    <col min="519" max="519" width="17" customWidth="1"/>
    <col min="520" max="520" width="15.85546875" customWidth="1"/>
    <col min="769" max="769" width="5.5703125" customWidth="1"/>
    <col min="770" max="770" width="29.85546875" customWidth="1"/>
    <col min="771" max="771" width="16.5703125" customWidth="1"/>
    <col min="772" max="772" width="16.28515625" customWidth="1"/>
    <col min="773" max="773" width="17.140625" customWidth="1"/>
    <col min="774" max="774" width="18.28515625" customWidth="1"/>
    <col min="775" max="775" width="17" customWidth="1"/>
    <col min="776" max="776" width="15.85546875" customWidth="1"/>
    <col min="1025" max="1025" width="5.5703125" customWidth="1"/>
    <col min="1026" max="1026" width="29.85546875" customWidth="1"/>
    <col min="1027" max="1027" width="16.5703125" customWidth="1"/>
    <col min="1028" max="1028" width="16.28515625" customWidth="1"/>
    <col min="1029" max="1029" width="17.140625" customWidth="1"/>
    <col min="1030" max="1030" width="18.28515625" customWidth="1"/>
    <col min="1031" max="1031" width="17" customWidth="1"/>
    <col min="1032" max="1032" width="15.85546875" customWidth="1"/>
    <col min="1281" max="1281" width="5.5703125" customWidth="1"/>
    <col min="1282" max="1282" width="29.85546875" customWidth="1"/>
    <col min="1283" max="1283" width="16.5703125" customWidth="1"/>
    <col min="1284" max="1284" width="16.28515625" customWidth="1"/>
    <col min="1285" max="1285" width="17.140625" customWidth="1"/>
    <col min="1286" max="1286" width="18.28515625" customWidth="1"/>
    <col min="1287" max="1287" width="17" customWidth="1"/>
    <col min="1288" max="1288" width="15.85546875" customWidth="1"/>
    <col min="1537" max="1537" width="5.5703125" customWidth="1"/>
    <col min="1538" max="1538" width="29.85546875" customWidth="1"/>
    <col min="1539" max="1539" width="16.5703125" customWidth="1"/>
    <col min="1540" max="1540" width="16.28515625" customWidth="1"/>
    <col min="1541" max="1541" width="17.140625" customWidth="1"/>
    <col min="1542" max="1542" width="18.28515625" customWidth="1"/>
    <col min="1543" max="1543" width="17" customWidth="1"/>
    <col min="1544" max="1544" width="15.85546875" customWidth="1"/>
    <col min="1793" max="1793" width="5.5703125" customWidth="1"/>
    <col min="1794" max="1794" width="29.85546875" customWidth="1"/>
    <col min="1795" max="1795" width="16.5703125" customWidth="1"/>
    <col min="1796" max="1796" width="16.28515625" customWidth="1"/>
    <col min="1797" max="1797" width="17.140625" customWidth="1"/>
    <col min="1798" max="1798" width="18.28515625" customWidth="1"/>
    <col min="1799" max="1799" width="17" customWidth="1"/>
    <col min="1800" max="1800" width="15.85546875" customWidth="1"/>
    <col min="2049" max="2049" width="5.5703125" customWidth="1"/>
    <col min="2050" max="2050" width="29.85546875" customWidth="1"/>
    <col min="2051" max="2051" width="16.5703125" customWidth="1"/>
    <col min="2052" max="2052" width="16.28515625" customWidth="1"/>
    <col min="2053" max="2053" width="17.140625" customWidth="1"/>
    <col min="2054" max="2054" width="18.28515625" customWidth="1"/>
    <col min="2055" max="2055" width="17" customWidth="1"/>
    <col min="2056" max="2056" width="15.85546875" customWidth="1"/>
    <col min="2305" max="2305" width="5.5703125" customWidth="1"/>
    <col min="2306" max="2306" width="29.85546875" customWidth="1"/>
    <col min="2307" max="2307" width="16.5703125" customWidth="1"/>
    <col min="2308" max="2308" width="16.28515625" customWidth="1"/>
    <col min="2309" max="2309" width="17.140625" customWidth="1"/>
    <col min="2310" max="2310" width="18.28515625" customWidth="1"/>
    <col min="2311" max="2311" width="17" customWidth="1"/>
    <col min="2312" max="2312" width="15.85546875" customWidth="1"/>
    <col min="2561" max="2561" width="5.5703125" customWidth="1"/>
    <col min="2562" max="2562" width="29.85546875" customWidth="1"/>
    <col min="2563" max="2563" width="16.5703125" customWidth="1"/>
    <col min="2564" max="2564" width="16.28515625" customWidth="1"/>
    <col min="2565" max="2565" width="17.140625" customWidth="1"/>
    <col min="2566" max="2566" width="18.28515625" customWidth="1"/>
    <col min="2567" max="2567" width="17" customWidth="1"/>
    <col min="2568" max="2568" width="15.85546875" customWidth="1"/>
    <col min="2817" max="2817" width="5.5703125" customWidth="1"/>
    <col min="2818" max="2818" width="29.85546875" customWidth="1"/>
    <col min="2819" max="2819" width="16.5703125" customWidth="1"/>
    <col min="2820" max="2820" width="16.28515625" customWidth="1"/>
    <col min="2821" max="2821" width="17.140625" customWidth="1"/>
    <col min="2822" max="2822" width="18.28515625" customWidth="1"/>
    <col min="2823" max="2823" width="17" customWidth="1"/>
    <col min="2824" max="2824" width="15.85546875" customWidth="1"/>
    <col min="3073" max="3073" width="5.5703125" customWidth="1"/>
    <col min="3074" max="3074" width="29.85546875" customWidth="1"/>
    <col min="3075" max="3075" width="16.5703125" customWidth="1"/>
    <col min="3076" max="3076" width="16.28515625" customWidth="1"/>
    <col min="3077" max="3077" width="17.140625" customWidth="1"/>
    <col min="3078" max="3078" width="18.28515625" customWidth="1"/>
    <col min="3079" max="3079" width="17" customWidth="1"/>
    <col min="3080" max="3080" width="15.85546875" customWidth="1"/>
    <col min="3329" max="3329" width="5.5703125" customWidth="1"/>
    <col min="3330" max="3330" width="29.85546875" customWidth="1"/>
    <col min="3331" max="3331" width="16.5703125" customWidth="1"/>
    <col min="3332" max="3332" width="16.28515625" customWidth="1"/>
    <col min="3333" max="3333" width="17.140625" customWidth="1"/>
    <col min="3334" max="3334" width="18.28515625" customWidth="1"/>
    <col min="3335" max="3335" width="17" customWidth="1"/>
    <col min="3336" max="3336" width="15.85546875" customWidth="1"/>
    <col min="3585" max="3585" width="5.5703125" customWidth="1"/>
    <col min="3586" max="3586" width="29.85546875" customWidth="1"/>
    <col min="3587" max="3587" width="16.5703125" customWidth="1"/>
    <col min="3588" max="3588" width="16.28515625" customWidth="1"/>
    <col min="3589" max="3589" width="17.140625" customWidth="1"/>
    <col min="3590" max="3590" width="18.28515625" customWidth="1"/>
    <col min="3591" max="3591" width="17" customWidth="1"/>
    <col min="3592" max="3592" width="15.85546875" customWidth="1"/>
    <col min="3841" max="3841" width="5.5703125" customWidth="1"/>
    <col min="3842" max="3842" width="29.85546875" customWidth="1"/>
    <col min="3843" max="3843" width="16.5703125" customWidth="1"/>
    <col min="3844" max="3844" width="16.28515625" customWidth="1"/>
    <col min="3845" max="3845" width="17.140625" customWidth="1"/>
    <col min="3846" max="3846" width="18.28515625" customWidth="1"/>
    <col min="3847" max="3847" width="17" customWidth="1"/>
    <col min="3848" max="3848" width="15.85546875" customWidth="1"/>
    <col min="4097" max="4097" width="5.5703125" customWidth="1"/>
    <col min="4098" max="4098" width="29.85546875" customWidth="1"/>
    <col min="4099" max="4099" width="16.5703125" customWidth="1"/>
    <col min="4100" max="4100" width="16.28515625" customWidth="1"/>
    <col min="4101" max="4101" width="17.140625" customWidth="1"/>
    <col min="4102" max="4102" width="18.28515625" customWidth="1"/>
    <col min="4103" max="4103" width="17" customWidth="1"/>
    <col min="4104" max="4104" width="15.85546875" customWidth="1"/>
    <col min="4353" max="4353" width="5.5703125" customWidth="1"/>
    <col min="4354" max="4354" width="29.85546875" customWidth="1"/>
    <col min="4355" max="4355" width="16.5703125" customWidth="1"/>
    <col min="4356" max="4356" width="16.28515625" customWidth="1"/>
    <col min="4357" max="4357" width="17.140625" customWidth="1"/>
    <col min="4358" max="4358" width="18.28515625" customWidth="1"/>
    <col min="4359" max="4359" width="17" customWidth="1"/>
    <col min="4360" max="4360" width="15.85546875" customWidth="1"/>
    <col min="4609" max="4609" width="5.5703125" customWidth="1"/>
    <col min="4610" max="4610" width="29.85546875" customWidth="1"/>
    <col min="4611" max="4611" width="16.5703125" customWidth="1"/>
    <col min="4612" max="4612" width="16.28515625" customWidth="1"/>
    <col min="4613" max="4613" width="17.140625" customWidth="1"/>
    <col min="4614" max="4614" width="18.28515625" customWidth="1"/>
    <col min="4615" max="4615" width="17" customWidth="1"/>
    <col min="4616" max="4616" width="15.85546875" customWidth="1"/>
    <col min="4865" max="4865" width="5.5703125" customWidth="1"/>
    <col min="4866" max="4866" width="29.85546875" customWidth="1"/>
    <col min="4867" max="4867" width="16.5703125" customWidth="1"/>
    <col min="4868" max="4868" width="16.28515625" customWidth="1"/>
    <col min="4869" max="4869" width="17.140625" customWidth="1"/>
    <col min="4870" max="4870" width="18.28515625" customWidth="1"/>
    <col min="4871" max="4871" width="17" customWidth="1"/>
    <col min="4872" max="4872" width="15.85546875" customWidth="1"/>
    <col min="5121" max="5121" width="5.5703125" customWidth="1"/>
    <col min="5122" max="5122" width="29.85546875" customWidth="1"/>
    <col min="5123" max="5123" width="16.5703125" customWidth="1"/>
    <col min="5124" max="5124" width="16.28515625" customWidth="1"/>
    <col min="5125" max="5125" width="17.140625" customWidth="1"/>
    <col min="5126" max="5126" width="18.28515625" customWidth="1"/>
    <col min="5127" max="5127" width="17" customWidth="1"/>
    <col min="5128" max="5128" width="15.85546875" customWidth="1"/>
    <col min="5377" max="5377" width="5.5703125" customWidth="1"/>
    <col min="5378" max="5378" width="29.85546875" customWidth="1"/>
    <col min="5379" max="5379" width="16.5703125" customWidth="1"/>
    <col min="5380" max="5380" width="16.28515625" customWidth="1"/>
    <col min="5381" max="5381" width="17.140625" customWidth="1"/>
    <col min="5382" max="5382" width="18.28515625" customWidth="1"/>
    <col min="5383" max="5383" width="17" customWidth="1"/>
    <col min="5384" max="5384" width="15.85546875" customWidth="1"/>
    <col min="5633" max="5633" width="5.5703125" customWidth="1"/>
    <col min="5634" max="5634" width="29.85546875" customWidth="1"/>
    <col min="5635" max="5635" width="16.5703125" customWidth="1"/>
    <col min="5636" max="5636" width="16.28515625" customWidth="1"/>
    <col min="5637" max="5637" width="17.140625" customWidth="1"/>
    <col min="5638" max="5638" width="18.28515625" customWidth="1"/>
    <col min="5639" max="5639" width="17" customWidth="1"/>
    <col min="5640" max="5640" width="15.85546875" customWidth="1"/>
    <col min="5889" max="5889" width="5.5703125" customWidth="1"/>
    <col min="5890" max="5890" width="29.85546875" customWidth="1"/>
    <col min="5891" max="5891" width="16.5703125" customWidth="1"/>
    <col min="5892" max="5892" width="16.28515625" customWidth="1"/>
    <col min="5893" max="5893" width="17.140625" customWidth="1"/>
    <col min="5894" max="5894" width="18.28515625" customWidth="1"/>
    <col min="5895" max="5895" width="17" customWidth="1"/>
    <col min="5896" max="5896" width="15.85546875" customWidth="1"/>
    <col min="6145" max="6145" width="5.5703125" customWidth="1"/>
    <col min="6146" max="6146" width="29.85546875" customWidth="1"/>
    <col min="6147" max="6147" width="16.5703125" customWidth="1"/>
    <col min="6148" max="6148" width="16.28515625" customWidth="1"/>
    <col min="6149" max="6149" width="17.140625" customWidth="1"/>
    <col min="6150" max="6150" width="18.28515625" customWidth="1"/>
    <col min="6151" max="6151" width="17" customWidth="1"/>
    <col min="6152" max="6152" width="15.85546875" customWidth="1"/>
    <col min="6401" max="6401" width="5.5703125" customWidth="1"/>
    <col min="6402" max="6402" width="29.85546875" customWidth="1"/>
    <col min="6403" max="6403" width="16.5703125" customWidth="1"/>
    <col min="6404" max="6404" width="16.28515625" customWidth="1"/>
    <col min="6405" max="6405" width="17.140625" customWidth="1"/>
    <col min="6406" max="6406" width="18.28515625" customWidth="1"/>
    <col min="6407" max="6407" width="17" customWidth="1"/>
    <col min="6408" max="6408" width="15.85546875" customWidth="1"/>
    <col min="6657" max="6657" width="5.5703125" customWidth="1"/>
    <col min="6658" max="6658" width="29.85546875" customWidth="1"/>
    <col min="6659" max="6659" width="16.5703125" customWidth="1"/>
    <col min="6660" max="6660" width="16.28515625" customWidth="1"/>
    <col min="6661" max="6661" width="17.140625" customWidth="1"/>
    <col min="6662" max="6662" width="18.28515625" customWidth="1"/>
    <col min="6663" max="6663" width="17" customWidth="1"/>
    <col min="6664" max="6664" width="15.85546875" customWidth="1"/>
    <col min="6913" max="6913" width="5.5703125" customWidth="1"/>
    <col min="6914" max="6914" width="29.85546875" customWidth="1"/>
    <col min="6915" max="6915" width="16.5703125" customWidth="1"/>
    <col min="6916" max="6916" width="16.28515625" customWidth="1"/>
    <col min="6917" max="6917" width="17.140625" customWidth="1"/>
    <col min="6918" max="6918" width="18.28515625" customWidth="1"/>
    <col min="6919" max="6919" width="17" customWidth="1"/>
    <col min="6920" max="6920" width="15.85546875" customWidth="1"/>
    <col min="7169" max="7169" width="5.5703125" customWidth="1"/>
    <col min="7170" max="7170" width="29.85546875" customWidth="1"/>
    <col min="7171" max="7171" width="16.5703125" customWidth="1"/>
    <col min="7172" max="7172" width="16.28515625" customWidth="1"/>
    <col min="7173" max="7173" width="17.140625" customWidth="1"/>
    <col min="7174" max="7174" width="18.28515625" customWidth="1"/>
    <col min="7175" max="7175" width="17" customWidth="1"/>
    <col min="7176" max="7176" width="15.85546875" customWidth="1"/>
    <col min="7425" max="7425" width="5.5703125" customWidth="1"/>
    <col min="7426" max="7426" width="29.85546875" customWidth="1"/>
    <col min="7427" max="7427" width="16.5703125" customWidth="1"/>
    <col min="7428" max="7428" width="16.28515625" customWidth="1"/>
    <col min="7429" max="7429" width="17.140625" customWidth="1"/>
    <col min="7430" max="7430" width="18.28515625" customWidth="1"/>
    <col min="7431" max="7431" width="17" customWidth="1"/>
    <col min="7432" max="7432" width="15.85546875" customWidth="1"/>
    <col min="7681" max="7681" width="5.5703125" customWidth="1"/>
    <col min="7682" max="7682" width="29.85546875" customWidth="1"/>
    <col min="7683" max="7683" width="16.5703125" customWidth="1"/>
    <col min="7684" max="7684" width="16.28515625" customWidth="1"/>
    <col min="7685" max="7685" width="17.140625" customWidth="1"/>
    <col min="7686" max="7686" width="18.28515625" customWidth="1"/>
    <col min="7687" max="7687" width="17" customWidth="1"/>
    <col min="7688" max="7688" width="15.85546875" customWidth="1"/>
    <col min="7937" max="7937" width="5.5703125" customWidth="1"/>
    <col min="7938" max="7938" width="29.85546875" customWidth="1"/>
    <col min="7939" max="7939" width="16.5703125" customWidth="1"/>
    <col min="7940" max="7940" width="16.28515625" customWidth="1"/>
    <col min="7941" max="7941" width="17.140625" customWidth="1"/>
    <col min="7942" max="7942" width="18.28515625" customWidth="1"/>
    <col min="7943" max="7943" width="17" customWidth="1"/>
    <col min="7944" max="7944" width="15.85546875" customWidth="1"/>
    <col min="8193" max="8193" width="5.5703125" customWidth="1"/>
    <col min="8194" max="8194" width="29.85546875" customWidth="1"/>
    <col min="8195" max="8195" width="16.5703125" customWidth="1"/>
    <col min="8196" max="8196" width="16.28515625" customWidth="1"/>
    <col min="8197" max="8197" width="17.140625" customWidth="1"/>
    <col min="8198" max="8198" width="18.28515625" customWidth="1"/>
    <col min="8199" max="8199" width="17" customWidth="1"/>
    <col min="8200" max="8200" width="15.85546875" customWidth="1"/>
    <col min="8449" max="8449" width="5.5703125" customWidth="1"/>
    <col min="8450" max="8450" width="29.85546875" customWidth="1"/>
    <col min="8451" max="8451" width="16.5703125" customWidth="1"/>
    <col min="8452" max="8452" width="16.28515625" customWidth="1"/>
    <col min="8453" max="8453" width="17.140625" customWidth="1"/>
    <col min="8454" max="8454" width="18.28515625" customWidth="1"/>
    <col min="8455" max="8455" width="17" customWidth="1"/>
    <col min="8456" max="8456" width="15.85546875" customWidth="1"/>
    <col min="8705" max="8705" width="5.5703125" customWidth="1"/>
    <col min="8706" max="8706" width="29.85546875" customWidth="1"/>
    <col min="8707" max="8707" width="16.5703125" customWidth="1"/>
    <col min="8708" max="8708" width="16.28515625" customWidth="1"/>
    <col min="8709" max="8709" width="17.140625" customWidth="1"/>
    <col min="8710" max="8710" width="18.28515625" customWidth="1"/>
    <col min="8711" max="8711" width="17" customWidth="1"/>
    <col min="8712" max="8712" width="15.85546875" customWidth="1"/>
    <col min="8961" max="8961" width="5.5703125" customWidth="1"/>
    <col min="8962" max="8962" width="29.85546875" customWidth="1"/>
    <col min="8963" max="8963" width="16.5703125" customWidth="1"/>
    <col min="8964" max="8964" width="16.28515625" customWidth="1"/>
    <col min="8965" max="8965" width="17.140625" customWidth="1"/>
    <col min="8966" max="8966" width="18.28515625" customWidth="1"/>
    <col min="8967" max="8967" width="17" customWidth="1"/>
    <col min="8968" max="8968" width="15.85546875" customWidth="1"/>
    <col min="9217" max="9217" width="5.5703125" customWidth="1"/>
    <col min="9218" max="9218" width="29.85546875" customWidth="1"/>
    <col min="9219" max="9219" width="16.5703125" customWidth="1"/>
    <col min="9220" max="9220" width="16.28515625" customWidth="1"/>
    <col min="9221" max="9221" width="17.140625" customWidth="1"/>
    <col min="9222" max="9222" width="18.28515625" customWidth="1"/>
    <col min="9223" max="9223" width="17" customWidth="1"/>
    <col min="9224" max="9224" width="15.85546875" customWidth="1"/>
    <col min="9473" max="9473" width="5.5703125" customWidth="1"/>
    <col min="9474" max="9474" width="29.85546875" customWidth="1"/>
    <col min="9475" max="9475" width="16.5703125" customWidth="1"/>
    <col min="9476" max="9476" width="16.28515625" customWidth="1"/>
    <col min="9477" max="9477" width="17.140625" customWidth="1"/>
    <col min="9478" max="9478" width="18.28515625" customWidth="1"/>
    <col min="9479" max="9479" width="17" customWidth="1"/>
    <col min="9480" max="9480" width="15.85546875" customWidth="1"/>
    <col min="9729" max="9729" width="5.5703125" customWidth="1"/>
    <col min="9730" max="9730" width="29.85546875" customWidth="1"/>
    <col min="9731" max="9731" width="16.5703125" customWidth="1"/>
    <col min="9732" max="9732" width="16.28515625" customWidth="1"/>
    <col min="9733" max="9733" width="17.140625" customWidth="1"/>
    <col min="9734" max="9734" width="18.28515625" customWidth="1"/>
    <col min="9735" max="9735" width="17" customWidth="1"/>
    <col min="9736" max="9736" width="15.85546875" customWidth="1"/>
    <col min="9985" max="9985" width="5.5703125" customWidth="1"/>
    <col min="9986" max="9986" width="29.85546875" customWidth="1"/>
    <col min="9987" max="9987" width="16.5703125" customWidth="1"/>
    <col min="9988" max="9988" width="16.28515625" customWidth="1"/>
    <col min="9989" max="9989" width="17.140625" customWidth="1"/>
    <col min="9990" max="9990" width="18.28515625" customWidth="1"/>
    <col min="9991" max="9991" width="17" customWidth="1"/>
    <col min="9992" max="9992" width="15.85546875" customWidth="1"/>
    <col min="10241" max="10241" width="5.5703125" customWidth="1"/>
    <col min="10242" max="10242" width="29.85546875" customWidth="1"/>
    <col min="10243" max="10243" width="16.5703125" customWidth="1"/>
    <col min="10244" max="10244" width="16.28515625" customWidth="1"/>
    <col min="10245" max="10245" width="17.140625" customWidth="1"/>
    <col min="10246" max="10246" width="18.28515625" customWidth="1"/>
    <col min="10247" max="10247" width="17" customWidth="1"/>
    <col min="10248" max="10248" width="15.85546875" customWidth="1"/>
    <col min="10497" max="10497" width="5.5703125" customWidth="1"/>
    <col min="10498" max="10498" width="29.85546875" customWidth="1"/>
    <col min="10499" max="10499" width="16.5703125" customWidth="1"/>
    <col min="10500" max="10500" width="16.28515625" customWidth="1"/>
    <col min="10501" max="10501" width="17.140625" customWidth="1"/>
    <col min="10502" max="10502" width="18.28515625" customWidth="1"/>
    <col min="10503" max="10503" width="17" customWidth="1"/>
    <col min="10504" max="10504" width="15.85546875" customWidth="1"/>
    <col min="10753" max="10753" width="5.5703125" customWidth="1"/>
    <col min="10754" max="10754" width="29.85546875" customWidth="1"/>
    <col min="10755" max="10755" width="16.5703125" customWidth="1"/>
    <col min="10756" max="10756" width="16.28515625" customWidth="1"/>
    <col min="10757" max="10757" width="17.140625" customWidth="1"/>
    <col min="10758" max="10758" width="18.28515625" customWidth="1"/>
    <col min="10759" max="10759" width="17" customWidth="1"/>
    <col min="10760" max="10760" width="15.85546875" customWidth="1"/>
    <col min="11009" max="11009" width="5.5703125" customWidth="1"/>
    <col min="11010" max="11010" width="29.85546875" customWidth="1"/>
    <col min="11011" max="11011" width="16.5703125" customWidth="1"/>
    <col min="11012" max="11012" width="16.28515625" customWidth="1"/>
    <col min="11013" max="11013" width="17.140625" customWidth="1"/>
    <col min="11014" max="11014" width="18.28515625" customWidth="1"/>
    <col min="11015" max="11015" width="17" customWidth="1"/>
    <col min="11016" max="11016" width="15.85546875" customWidth="1"/>
    <col min="11265" max="11265" width="5.5703125" customWidth="1"/>
    <col min="11266" max="11266" width="29.85546875" customWidth="1"/>
    <col min="11267" max="11267" width="16.5703125" customWidth="1"/>
    <col min="11268" max="11268" width="16.28515625" customWidth="1"/>
    <col min="11269" max="11269" width="17.140625" customWidth="1"/>
    <col min="11270" max="11270" width="18.28515625" customWidth="1"/>
    <col min="11271" max="11271" width="17" customWidth="1"/>
    <col min="11272" max="11272" width="15.85546875" customWidth="1"/>
    <col min="11521" max="11521" width="5.5703125" customWidth="1"/>
    <col min="11522" max="11522" width="29.85546875" customWidth="1"/>
    <col min="11523" max="11523" width="16.5703125" customWidth="1"/>
    <col min="11524" max="11524" width="16.28515625" customWidth="1"/>
    <col min="11525" max="11525" width="17.140625" customWidth="1"/>
    <col min="11526" max="11526" width="18.28515625" customWidth="1"/>
    <col min="11527" max="11527" width="17" customWidth="1"/>
    <col min="11528" max="11528" width="15.85546875" customWidth="1"/>
    <col min="11777" max="11777" width="5.5703125" customWidth="1"/>
    <col min="11778" max="11778" width="29.85546875" customWidth="1"/>
    <col min="11779" max="11779" width="16.5703125" customWidth="1"/>
    <col min="11780" max="11780" width="16.28515625" customWidth="1"/>
    <col min="11781" max="11781" width="17.140625" customWidth="1"/>
    <col min="11782" max="11782" width="18.28515625" customWidth="1"/>
    <col min="11783" max="11783" width="17" customWidth="1"/>
    <col min="11784" max="11784" width="15.85546875" customWidth="1"/>
    <col min="12033" max="12033" width="5.5703125" customWidth="1"/>
    <col min="12034" max="12034" width="29.85546875" customWidth="1"/>
    <col min="12035" max="12035" width="16.5703125" customWidth="1"/>
    <col min="12036" max="12036" width="16.28515625" customWidth="1"/>
    <col min="12037" max="12037" width="17.140625" customWidth="1"/>
    <col min="12038" max="12038" width="18.28515625" customWidth="1"/>
    <col min="12039" max="12039" width="17" customWidth="1"/>
    <col min="12040" max="12040" width="15.85546875" customWidth="1"/>
    <col min="12289" max="12289" width="5.5703125" customWidth="1"/>
    <col min="12290" max="12290" width="29.85546875" customWidth="1"/>
    <col min="12291" max="12291" width="16.5703125" customWidth="1"/>
    <col min="12292" max="12292" width="16.28515625" customWidth="1"/>
    <col min="12293" max="12293" width="17.140625" customWidth="1"/>
    <col min="12294" max="12294" width="18.28515625" customWidth="1"/>
    <col min="12295" max="12295" width="17" customWidth="1"/>
    <col min="12296" max="12296" width="15.85546875" customWidth="1"/>
    <col min="12545" max="12545" width="5.5703125" customWidth="1"/>
    <col min="12546" max="12546" width="29.85546875" customWidth="1"/>
    <col min="12547" max="12547" width="16.5703125" customWidth="1"/>
    <col min="12548" max="12548" width="16.28515625" customWidth="1"/>
    <col min="12549" max="12549" width="17.140625" customWidth="1"/>
    <col min="12550" max="12550" width="18.28515625" customWidth="1"/>
    <col min="12551" max="12551" width="17" customWidth="1"/>
    <col min="12552" max="12552" width="15.85546875" customWidth="1"/>
    <col min="12801" max="12801" width="5.5703125" customWidth="1"/>
    <col min="12802" max="12802" width="29.85546875" customWidth="1"/>
    <col min="12803" max="12803" width="16.5703125" customWidth="1"/>
    <col min="12804" max="12804" width="16.28515625" customWidth="1"/>
    <col min="12805" max="12805" width="17.140625" customWidth="1"/>
    <col min="12806" max="12806" width="18.28515625" customWidth="1"/>
    <col min="12807" max="12807" width="17" customWidth="1"/>
    <col min="12808" max="12808" width="15.85546875" customWidth="1"/>
    <col min="13057" max="13057" width="5.5703125" customWidth="1"/>
    <col min="13058" max="13058" width="29.85546875" customWidth="1"/>
    <col min="13059" max="13059" width="16.5703125" customWidth="1"/>
    <col min="13060" max="13060" width="16.28515625" customWidth="1"/>
    <col min="13061" max="13061" width="17.140625" customWidth="1"/>
    <col min="13062" max="13062" width="18.28515625" customWidth="1"/>
    <col min="13063" max="13063" width="17" customWidth="1"/>
    <col min="13064" max="13064" width="15.85546875" customWidth="1"/>
    <col min="13313" max="13313" width="5.5703125" customWidth="1"/>
    <col min="13314" max="13314" width="29.85546875" customWidth="1"/>
    <col min="13315" max="13315" width="16.5703125" customWidth="1"/>
    <col min="13316" max="13316" width="16.28515625" customWidth="1"/>
    <col min="13317" max="13317" width="17.140625" customWidth="1"/>
    <col min="13318" max="13318" width="18.28515625" customWidth="1"/>
    <col min="13319" max="13319" width="17" customWidth="1"/>
    <col min="13320" max="13320" width="15.85546875" customWidth="1"/>
    <col min="13569" max="13569" width="5.5703125" customWidth="1"/>
    <col min="13570" max="13570" width="29.85546875" customWidth="1"/>
    <col min="13571" max="13571" width="16.5703125" customWidth="1"/>
    <col min="13572" max="13572" width="16.28515625" customWidth="1"/>
    <col min="13573" max="13573" width="17.140625" customWidth="1"/>
    <col min="13574" max="13574" width="18.28515625" customWidth="1"/>
    <col min="13575" max="13575" width="17" customWidth="1"/>
    <col min="13576" max="13576" width="15.85546875" customWidth="1"/>
    <col min="13825" max="13825" width="5.5703125" customWidth="1"/>
    <col min="13826" max="13826" width="29.85546875" customWidth="1"/>
    <col min="13827" max="13827" width="16.5703125" customWidth="1"/>
    <col min="13828" max="13828" width="16.28515625" customWidth="1"/>
    <col min="13829" max="13829" width="17.140625" customWidth="1"/>
    <col min="13830" max="13830" width="18.28515625" customWidth="1"/>
    <col min="13831" max="13831" width="17" customWidth="1"/>
    <col min="13832" max="13832" width="15.85546875" customWidth="1"/>
    <col min="14081" max="14081" width="5.5703125" customWidth="1"/>
    <col min="14082" max="14082" width="29.85546875" customWidth="1"/>
    <col min="14083" max="14083" width="16.5703125" customWidth="1"/>
    <col min="14084" max="14084" width="16.28515625" customWidth="1"/>
    <col min="14085" max="14085" width="17.140625" customWidth="1"/>
    <col min="14086" max="14086" width="18.28515625" customWidth="1"/>
    <col min="14087" max="14087" width="17" customWidth="1"/>
    <col min="14088" max="14088" width="15.85546875" customWidth="1"/>
    <col min="14337" max="14337" width="5.5703125" customWidth="1"/>
    <col min="14338" max="14338" width="29.85546875" customWidth="1"/>
    <col min="14339" max="14339" width="16.5703125" customWidth="1"/>
    <col min="14340" max="14340" width="16.28515625" customWidth="1"/>
    <col min="14341" max="14341" width="17.140625" customWidth="1"/>
    <col min="14342" max="14342" width="18.28515625" customWidth="1"/>
    <col min="14343" max="14343" width="17" customWidth="1"/>
    <col min="14344" max="14344" width="15.85546875" customWidth="1"/>
    <col min="14593" max="14593" width="5.5703125" customWidth="1"/>
    <col min="14594" max="14594" width="29.85546875" customWidth="1"/>
    <col min="14595" max="14595" width="16.5703125" customWidth="1"/>
    <col min="14596" max="14596" width="16.28515625" customWidth="1"/>
    <col min="14597" max="14597" width="17.140625" customWidth="1"/>
    <col min="14598" max="14598" width="18.28515625" customWidth="1"/>
    <col min="14599" max="14599" width="17" customWidth="1"/>
    <col min="14600" max="14600" width="15.85546875" customWidth="1"/>
    <col min="14849" max="14849" width="5.5703125" customWidth="1"/>
    <col min="14850" max="14850" width="29.85546875" customWidth="1"/>
    <col min="14851" max="14851" width="16.5703125" customWidth="1"/>
    <col min="14852" max="14852" width="16.28515625" customWidth="1"/>
    <col min="14853" max="14853" width="17.140625" customWidth="1"/>
    <col min="14854" max="14854" width="18.28515625" customWidth="1"/>
    <col min="14855" max="14855" width="17" customWidth="1"/>
    <col min="14856" max="14856" width="15.85546875" customWidth="1"/>
    <col min="15105" max="15105" width="5.5703125" customWidth="1"/>
    <col min="15106" max="15106" width="29.85546875" customWidth="1"/>
    <col min="15107" max="15107" width="16.5703125" customWidth="1"/>
    <col min="15108" max="15108" width="16.28515625" customWidth="1"/>
    <col min="15109" max="15109" width="17.140625" customWidth="1"/>
    <col min="15110" max="15110" width="18.28515625" customWidth="1"/>
    <col min="15111" max="15111" width="17" customWidth="1"/>
    <col min="15112" max="15112" width="15.85546875" customWidth="1"/>
    <col min="15361" max="15361" width="5.5703125" customWidth="1"/>
    <col min="15362" max="15362" width="29.85546875" customWidth="1"/>
    <col min="15363" max="15363" width="16.5703125" customWidth="1"/>
    <col min="15364" max="15364" width="16.28515625" customWidth="1"/>
    <col min="15365" max="15365" width="17.140625" customWidth="1"/>
    <col min="15366" max="15366" width="18.28515625" customWidth="1"/>
    <col min="15367" max="15367" width="17" customWidth="1"/>
    <col min="15368" max="15368" width="15.85546875" customWidth="1"/>
    <col min="15617" max="15617" width="5.5703125" customWidth="1"/>
    <col min="15618" max="15618" width="29.85546875" customWidth="1"/>
    <col min="15619" max="15619" width="16.5703125" customWidth="1"/>
    <col min="15620" max="15620" width="16.28515625" customWidth="1"/>
    <col min="15621" max="15621" width="17.140625" customWidth="1"/>
    <col min="15622" max="15622" width="18.28515625" customWidth="1"/>
    <col min="15623" max="15623" width="17" customWidth="1"/>
    <col min="15624" max="15624" width="15.85546875" customWidth="1"/>
    <col min="15873" max="15873" width="5.5703125" customWidth="1"/>
    <col min="15874" max="15874" width="29.85546875" customWidth="1"/>
    <col min="15875" max="15875" width="16.5703125" customWidth="1"/>
    <col min="15876" max="15876" width="16.28515625" customWidth="1"/>
    <col min="15877" max="15877" width="17.140625" customWidth="1"/>
    <col min="15878" max="15878" width="18.28515625" customWidth="1"/>
    <col min="15879" max="15879" width="17" customWidth="1"/>
    <col min="15880" max="15880" width="15.85546875" customWidth="1"/>
    <col min="16129" max="16129" width="5.5703125" customWidth="1"/>
    <col min="16130" max="16130" width="29.85546875" customWidth="1"/>
    <col min="16131" max="16131" width="16.5703125" customWidth="1"/>
    <col min="16132" max="16132" width="16.28515625" customWidth="1"/>
    <col min="16133" max="16133" width="17.140625" customWidth="1"/>
    <col min="16134" max="16134" width="18.28515625" customWidth="1"/>
    <col min="16135" max="16135" width="17" customWidth="1"/>
    <col min="16136" max="16136" width="15.85546875" customWidth="1"/>
  </cols>
  <sheetData>
    <row r="1" spans="1:7" ht="30" customHeight="1" x14ac:dyDescent="0.2">
      <c r="A1" s="1051" t="s">
        <v>16</v>
      </c>
      <c r="B1" s="1051" t="s">
        <v>1067</v>
      </c>
      <c r="C1" s="1050" t="s">
        <v>1068</v>
      </c>
      <c r="D1" s="1051" t="s">
        <v>1069</v>
      </c>
      <c r="E1" s="1051"/>
      <c r="F1" s="1050" t="s">
        <v>1070</v>
      </c>
      <c r="G1" s="1050" t="s">
        <v>1071</v>
      </c>
    </row>
    <row r="2" spans="1:7" ht="15.75" x14ac:dyDescent="0.2">
      <c r="A2" s="1051"/>
      <c r="B2" s="1051"/>
      <c r="C2" s="1050"/>
      <c r="D2" s="643" t="s">
        <v>343</v>
      </c>
      <c r="E2" s="643" t="s">
        <v>1072</v>
      </c>
      <c r="F2" s="1050"/>
      <c r="G2" s="1050"/>
    </row>
    <row r="3" spans="1:7" ht="28.35" customHeight="1" x14ac:dyDescent="0.2">
      <c r="A3" s="644" t="s">
        <v>2</v>
      </c>
      <c r="B3" s="597" t="s">
        <v>1073</v>
      </c>
      <c r="C3" s="645">
        <v>739800000</v>
      </c>
      <c r="D3" s="645">
        <v>719500000</v>
      </c>
      <c r="E3" s="646">
        <v>97.26</v>
      </c>
      <c r="F3" s="645">
        <v>779500000</v>
      </c>
      <c r="G3" s="645">
        <v>779500000</v>
      </c>
    </row>
    <row r="4" spans="1:7" ht="28.35" customHeight="1" x14ac:dyDescent="0.2">
      <c r="A4" s="644" t="s">
        <v>4</v>
      </c>
      <c r="B4" s="597" t="s">
        <v>1074</v>
      </c>
      <c r="C4" s="645">
        <v>49330000</v>
      </c>
      <c r="D4" s="645">
        <v>49330000</v>
      </c>
      <c r="E4" s="647">
        <v>100</v>
      </c>
      <c r="F4" s="645">
        <v>49330000</v>
      </c>
      <c r="G4" s="645">
        <v>49330000</v>
      </c>
    </row>
    <row r="5" spans="1:7" ht="28.35" customHeight="1" x14ac:dyDescent="0.2">
      <c r="A5" s="644" t="s">
        <v>5</v>
      </c>
      <c r="B5" s="597" t="s">
        <v>1075</v>
      </c>
      <c r="C5" s="645">
        <v>695000000</v>
      </c>
      <c r="D5" s="645">
        <v>12100000</v>
      </c>
      <c r="E5" s="646">
        <v>1.7410000000000001</v>
      </c>
      <c r="F5" s="645">
        <v>12100000</v>
      </c>
      <c r="G5" s="645">
        <v>12100000</v>
      </c>
    </row>
    <row r="6" spans="1:7" ht="28.35" customHeight="1" x14ac:dyDescent="0.2">
      <c r="A6" s="644" t="s">
        <v>6</v>
      </c>
      <c r="B6" s="597" t="s">
        <v>1076</v>
      </c>
      <c r="C6" s="645">
        <v>3000000</v>
      </c>
      <c r="D6" s="645">
        <v>1530000</v>
      </c>
      <c r="E6" s="648">
        <v>51</v>
      </c>
      <c r="F6" s="645">
        <v>1530000</v>
      </c>
      <c r="G6" s="645">
        <v>1530000</v>
      </c>
    </row>
    <row r="7" spans="1:7" ht="28.35" customHeight="1" x14ac:dyDescent="0.25">
      <c r="A7" s="649"/>
      <c r="B7" s="650" t="s">
        <v>13</v>
      </c>
      <c r="C7" s="651"/>
      <c r="D7" s="651">
        <f>SUM(D3:D6)</f>
        <v>782460000</v>
      </c>
      <c r="E7" s="652"/>
      <c r="F7" s="651">
        <f>SUM(F3:F6)</f>
        <v>842460000</v>
      </c>
      <c r="G7" s="651">
        <f>SUM(G3:G6)</f>
        <v>842460000</v>
      </c>
    </row>
    <row r="8" spans="1:7" ht="15" x14ac:dyDescent="0.2">
      <c r="A8" s="653"/>
      <c r="B8" s="653"/>
      <c r="C8" s="653"/>
      <c r="D8" s="653"/>
      <c r="E8" s="653"/>
      <c r="F8" s="653"/>
      <c r="G8" s="653"/>
    </row>
  </sheetData>
  <mergeCells count="6">
    <mergeCell ref="G1:G2"/>
    <mergeCell ref="A1:A2"/>
    <mergeCell ref="B1:B2"/>
    <mergeCell ref="C1:C2"/>
    <mergeCell ref="D1:E1"/>
    <mergeCell ref="F1:F2"/>
  </mergeCells>
  <pageMargins left="0.78740157480314965" right="0.74803149606299213" top="1.7716535433070868" bottom="0.98425196850393704" header="0.51181102362204722" footer="0.51181102362204722"/>
  <pageSetup paperSize="9" scale="95" orientation="landscape" r:id="rId1"/>
  <headerFooter alignWithMargins="0">
    <oddHeader>&amp;C&amp;"Arial CE,Félkövér"&amp;12
11/2019. (V.17.) számú költségvetési rendelethez
KIMUTATÁS&amp;"Arial CE,Normál"&amp;10
&amp;12Az Önkormányzat tulajdonában álló gazdasági társaságokban lévő  részesedésének alakulásáról
 2018. december 31-én&amp;R&amp;A
Ft-ban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view="pageLayout" topLeftCell="A4" zoomScaleNormal="100" zoomScaleSheetLayoutView="100" workbookViewId="0">
      <selection activeCell="A23" sqref="A23"/>
    </sheetView>
  </sheetViews>
  <sheetFormatPr defaultRowHeight="12.75" x14ac:dyDescent="0.2"/>
  <cols>
    <col min="1" max="1" width="39.5703125" customWidth="1"/>
    <col min="2" max="2" width="10.7109375" customWidth="1"/>
    <col min="3" max="3" width="10.140625" customWidth="1"/>
    <col min="4" max="4" width="11.140625" customWidth="1"/>
    <col min="5" max="5" width="11.42578125" customWidth="1"/>
    <col min="6" max="6" width="11.140625" customWidth="1"/>
    <col min="7" max="7" width="11.42578125" customWidth="1"/>
    <col min="8" max="8" width="13.140625" customWidth="1"/>
    <col min="9" max="9" width="10.28515625" customWidth="1"/>
    <col min="10" max="10" width="8.5703125" customWidth="1"/>
    <col min="11" max="11" width="11.28515625" customWidth="1"/>
    <col min="12" max="12" width="9.85546875" customWidth="1"/>
  </cols>
  <sheetData>
    <row r="1" spans="1:12" ht="38.25" x14ac:dyDescent="0.2">
      <c r="A1" s="104" t="s">
        <v>179</v>
      </c>
      <c r="B1" s="131" t="s">
        <v>1932</v>
      </c>
      <c r="C1" s="131" t="s">
        <v>183</v>
      </c>
      <c r="D1" s="131" t="s">
        <v>184</v>
      </c>
      <c r="E1" s="131" t="s">
        <v>188</v>
      </c>
      <c r="F1" s="131" t="s">
        <v>191</v>
      </c>
      <c r="G1" s="131" t="s">
        <v>185</v>
      </c>
      <c r="H1" s="131" t="s">
        <v>575</v>
      </c>
      <c r="I1" s="131" t="s">
        <v>189</v>
      </c>
      <c r="J1" s="131" t="s">
        <v>180</v>
      </c>
      <c r="K1" s="131" t="s">
        <v>192</v>
      </c>
      <c r="L1" s="131" t="s">
        <v>1931</v>
      </c>
    </row>
    <row r="2" spans="1:12" ht="24.95" customHeight="1" x14ac:dyDescent="0.2">
      <c r="A2" s="86" t="s">
        <v>181</v>
      </c>
      <c r="B2" s="47"/>
      <c r="C2" s="44"/>
      <c r="D2" s="44"/>
      <c r="E2" s="44"/>
      <c r="F2" s="44"/>
      <c r="G2" s="44"/>
      <c r="H2" s="44"/>
      <c r="I2" s="44"/>
      <c r="J2" s="44"/>
      <c r="K2" s="44"/>
      <c r="L2" s="47"/>
    </row>
    <row r="3" spans="1:12" ht="24.95" customHeight="1" x14ac:dyDescent="0.2">
      <c r="A3" s="44" t="s">
        <v>218</v>
      </c>
      <c r="B3" s="47">
        <v>5</v>
      </c>
      <c r="C3" s="44"/>
      <c r="D3" s="44"/>
      <c r="E3" s="44"/>
      <c r="F3" s="44"/>
      <c r="G3" s="44">
        <v>2</v>
      </c>
      <c r="H3" s="44">
        <v>1</v>
      </c>
      <c r="I3" s="44"/>
      <c r="J3" s="44">
        <v>2</v>
      </c>
      <c r="K3" s="44"/>
      <c r="L3" s="47">
        <f t="shared" ref="L3:L9" si="0">SUM(C3:K3)</f>
        <v>5</v>
      </c>
    </row>
    <row r="4" spans="1:12" ht="24.95" customHeight="1" x14ac:dyDescent="0.2">
      <c r="A4" s="44" t="s">
        <v>216</v>
      </c>
      <c r="B4" s="47">
        <v>1</v>
      </c>
      <c r="C4" s="44"/>
      <c r="D4" s="44"/>
      <c r="E4" s="44"/>
      <c r="F4" s="44"/>
      <c r="G4" s="44">
        <v>1</v>
      </c>
      <c r="H4" s="44"/>
      <c r="I4" s="44"/>
      <c r="J4" s="44"/>
      <c r="K4" s="44"/>
      <c r="L4" s="47">
        <f t="shared" si="0"/>
        <v>1</v>
      </c>
    </row>
    <row r="5" spans="1:12" ht="24.95" customHeight="1" x14ac:dyDescent="0.2">
      <c r="A5" s="44" t="s">
        <v>217</v>
      </c>
      <c r="B5" s="47">
        <v>1</v>
      </c>
      <c r="C5" s="44"/>
      <c r="D5" s="44"/>
      <c r="E5" s="44"/>
      <c r="F5" s="44"/>
      <c r="G5" s="44">
        <v>1</v>
      </c>
      <c r="H5" s="44"/>
      <c r="I5" s="44"/>
      <c r="J5" s="44"/>
      <c r="K5" s="44"/>
      <c r="L5" s="47">
        <f t="shared" si="0"/>
        <v>1</v>
      </c>
    </row>
    <row r="6" spans="1:12" ht="24.95" customHeight="1" x14ac:dyDescent="0.2">
      <c r="A6" s="44" t="s">
        <v>573</v>
      </c>
      <c r="B6" s="47">
        <v>1</v>
      </c>
      <c r="C6" s="44"/>
      <c r="D6" s="44"/>
      <c r="E6" s="44"/>
      <c r="F6" s="44"/>
      <c r="G6" s="44">
        <v>1</v>
      </c>
      <c r="H6" s="44"/>
      <c r="I6" s="44"/>
      <c r="J6" s="44"/>
      <c r="K6" s="44"/>
      <c r="L6" s="47">
        <f t="shared" si="0"/>
        <v>1</v>
      </c>
    </row>
    <row r="7" spans="1:12" ht="24.95" customHeight="1" x14ac:dyDescent="0.2">
      <c r="A7" s="44" t="s">
        <v>574</v>
      </c>
      <c r="B7" s="47">
        <v>45</v>
      </c>
      <c r="C7" s="44"/>
      <c r="D7" s="44"/>
      <c r="E7" s="44"/>
      <c r="F7" s="44"/>
      <c r="G7" s="44"/>
      <c r="H7" s="44"/>
      <c r="I7" s="44"/>
      <c r="J7" s="44"/>
      <c r="K7" s="44">
        <v>9</v>
      </c>
      <c r="L7" s="47">
        <f t="shared" si="0"/>
        <v>9</v>
      </c>
    </row>
    <row r="8" spans="1:12" s="71" customFormat="1" ht="24.95" customHeight="1" x14ac:dyDescent="0.2">
      <c r="A8" s="180" t="s">
        <v>61</v>
      </c>
      <c r="B8" s="98">
        <f>SUM(B3:B7)</f>
        <v>53</v>
      </c>
      <c r="C8" s="98">
        <f t="shared" ref="C8:K8" si="1">SUM(C3:C7)</f>
        <v>0</v>
      </c>
      <c r="D8" s="98">
        <f t="shared" si="1"/>
        <v>0</v>
      </c>
      <c r="E8" s="98">
        <f t="shared" si="1"/>
        <v>0</v>
      </c>
      <c r="F8" s="98">
        <f t="shared" si="1"/>
        <v>0</v>
      </c>
      <c r="G8" s="98">
        <f t="shared" si="1"/>
        <v>5</v>
      </c>
      <c r="H8" s="98">
        <f>SUM(H3:H7)</f>
        <v>1</v>
      </c>
      <c r="I8" s="98">
        <f t="shared" si="1"/>
        <v>0</v>
      </c>
      <c r="J8" s="98">
        <f t="shared" si="1"/>
        <v>2</v>
      </c>
      <c r="K8" s="98">
        <f t="shared" si="1"/>
        <v>9</v>
      </c>
      <c r="L8" s="47">
        <f t="shared" si="0"/>
        <v>17</v>
      </c>
    </row>
    <row r="9" spans="1:12" s="347" customFormat="1" ht="24.95" customHeight="1" x14ac:dyDescent="0.2">
      <c r="A9" s="346" t="s">
        <v>182</v>
      </c>
      <c r="B9" s="346">
        <v>21</v>
      </c>
      <c r="C9" s="346">
        <v>21</v>
      </c>
      <c r="D9" s="346"/>
      <c r="E9" s="346"/>
      <c r="F9" s="346"/>
      <c r="G9" s="346"/>
      <c r="H9" s="346"/>
      <c r="I9" s="346"/>
      <c r="J9" s="346"/>
      <c r="K9" s="346"/>
      <c r="L9" s="345">
        <f t="shared" si="0"/>
        <v>21</v>
      </c>
    </row>
    <row r="10" spans="1:12" ht="24.95" customHeight="1" x14ac:dyDescent="0.2">
      <c r="A10" s="86" t="s">
        <v>332</v>
      </c>
      <c r="B10" s="47"/>
      <c r="C10" s="44"/>
      <c r="D10" s="44"/>
      <c r="E10" s="44"/>
      <c r="F10" s="44"/>
      <c r="G10" s="44"/>
      <c r="H10" s="44"/>
      <c r="I10" s="44"/>
      <c r="J10" s="44"/>
      <c r="K10" s="44"/>
      <c r="L10" s="47"/>
    </row>
    <row r="11" spans="1:12" ht="24.95" customHeight="1" x14ac:dyDescent="0.2">
      <c r="A11" s="44" t="s">
        <v>186</v>
      </c>
      <c r="B11" s="47">
        <v>13.7</v>
      </c>
      <c r="C11" s="44"/>
      <c r="D11" s="44">
        <v>7</v>
      </c>
      <c r="E11" s="44"/>
      <c r="F11" s="44"/>
      <c r="G11" s="44">
        <v>4</v>
      </c>
      <c r="H11" s="44"/>
      <c r="I11" s="44"/>
      <c r="J11" s="44">
        <v>3</v>
      </c>
      <c r="K11" s="44"/>
      <c r="L11" s="47">
        <f>SUM(D11:K11)</f>
        <v>14</v>
      </c>
    </row>
    <row r="12" spans="1:12" ht="24.95" customHeight="1" x14ac:dyDescent="0.2">
      <c r="A12" s="44" t="s">
        <v>187</v>
      </c>
      <c r="B12" s="47">
        <v>8</v>
      </c>
      <c r="C12" s="44"/>
      <c r="D12" s="44"/>
      <c r="E12" s="44">
        <v>4</v>
      </c>
      <c r="F12" s="44"/>
      <c r="G12" s="44"/>
      <c r="H12" s="44"/>
      <c r="I12" s="44"/>
      <c r="J12" s="44">
        <v>2</v>
      </c>
      <c r="K12" s="44"/>
      <c r="L12" s="47">
        <f>SUM(D12:K12)</f>
        <v>6</v>
      </c>
    </row>
    <row r="13" spans="1:12" ht="24.95" customHeight="1" x14ac:dyDescent="0.2">
      <c r="A13" s="44" t="s">
        <v>1972</v>
      </c>
      <c r="B13" s="47">
        <v>7</v>
      </c>
      <c r="C13" s="44"/>
      <c r="D13" s="44"/>
      <c r="E13" s="44"/>
      <c r="F13" s="44"/>
      <c r="G13" s="44">
        <v>2</v>
      </c>
      <c r="H13" s="44"/>
      <c r="I13" s="44">
        <v>1</v>
      </c>
      <c r="J13" s="44">
        <v>4</v>
      </c>
      <c r="K13" s="44"/>
      <c r="L13" s="47">
        <f>SUM(D13:K13)</f>
        <v>7</v>
      </c>
    </row>
    <row r="14" spans="1:12" ht="24.95" customHeight="1" x14ac:dyDescent="0.2">
      <c r="A14" s="98" t="s">
        <v>317</v>
      </c>
      <c r="B14" s="98">
        <f t="shared" ref="B14:G14" si="2">SUM(B10:B13)</f>
        <v>28.7</v>
      </c>
      <c r="C14" s="98">
        <f t="shared" si="2"/>
        <v>0</v>
      </c>
      <c r="D14" s="98">
        <f t="shared" si="2"/>
        <v>7</v>
      </c>
      <c r="E14" s="98">
        <f t="shared" si="2"/>
        <v>4</v>
      </c>
      <c r="F14" s="98">
        <f t="shared" si="2"/>
        <v>0</v>
      </c>
      <c r="G14" s="98">
        <f t="shared" si="2"/>
        <v>6</v>
      </c>
      <c r="H14" s="98"/>
      <c r="I14" s="98">
        <f>SUM(I10:I13)</f>
        <v>1</v>
      </c>
      <c r="J14" s="98">
        <f>SUM(J10:J13)</f>
        <v>9</v>
      </c>
      <c r="K14" s="98">
        <f>SUM(K10:K13)</f>
        <v>0</v>
      </c>
      <c r="L14" s="98">
        <f>SUM(L10:L13)</f>
        <v>27</v>
      </c>
    </row>
    <row r="15" spans="1:12" ht="24.95" customHeight="1" x14ac:dyDescent="0.2">
      <c r="A15" s="179" t="s">
        <v>331</v>
      </c>
      <c r="B15" s="99"/>
      <c r="C15" s="179"/>
      <c r="D15" s="179"/>
      <c r="E15" s="179"/>
      <c r="F15" s="179"/>
      <c r="G15" s="179"/>
      <c r="H15" s="179"/>
      <c r="I15" s="179"/>
      <c r="J15" s="179"/>
      <c r="K15" s="179"/>
      <c r="L15" s="99"/>
    </row>
    <row r="16" spans="1:12" ht="24.95" customHeight="1" x14ac:dyDescent="0.2">
      <c r="A16" s="146" t="s">
        <v>333</v>
      </c>
      <c r="B16" s="181">
        <v>0.6</v>
      </c>
      <c r="C16" s="146"/>
      <c r="D16" s="146"/>
      <c r="E16" s="146"/>
      <c r="F16" s="44">
        <v>0.6</v>
      </c>
      <c r="G16" s="146"/>
      <c r="H16" s="146"/>
      <c r="I16" s="146"/>
      <c r="J16" s="146"/>
      <c r="K16" s="146"/>
      <c r="L16" s="47">
        <f>SUM(D16:K16)</f>
        <v>0.6</v>
      </c>
    </row>
    <row r="17" spans="1:12" ht="24.95" customHeight="1" x14ac:dyDescent="0.2">
      <c r="A17" s="146" t="s">
        <v>334</v>
      </c>
      <c r="B17" s="181">
        <v>4</v>
      </c>
      <c r="C17" s="146"/>
      <c r="D17" s="146"/>
      <c r="E17" s="146"/>
      <c r="F17" s="44"/>
      <c r="G17" s="146">
        <v>3</v>
      </c>
      <c r="H17" s="146"/>
      <c r="I17" s="146"/>
      <c r="J17" s="146">
        <v>1</v>
      </c>
      <c r="K17" s="146"/>
      <c r="L17" s="47">
        <f>SUM(D17:K17)</f>
        <v>4</v>
      </c>
    </row>
    <row r="18" spans="1:12" ht="24.95" customHeight="1" x14ac:dyDescent="0.2">
      <c r="A18" s="98" t="s">
        <v>335</v>
      </c>
      <c r="B18" s="98">
        <f t="shared" ref="B18:K18" si="3">B16+B17</f>
        <v>4.5999999999999996</v>
      </c>
      <c r="C18" s="98">
        <f t="shared" si="3"/>
        <v>0</v>
      </c>
      <c r="D18" s="98">
        <f t="shared" si="3"/>
        <v>0</v>
      </c>
      <c r="E18" s="98">
        <f t="shared" si="3"/>
        <v>0</v>
      </c>
      <c r="F18" s="98">
        <f t="shared" si="3"/>
        <v>0.6</v>
      </c>
      <c r="G18" s="98">
        <f t="shared" si="3"/>
        <v>3</v>
      </c>
      <c r="H18" s="98"/>
      <c r="I18" s="98">
        <f t="shared" si="3"/>
        <v>0</v>
      </c>
      <c r="J18" s="98">
        <f t="shared" si="3"/>
        <v>1</v>
      </c>
      <c r="K18" s="98">
        <f t="shared" si="3"/>
        <v>0</v>
      </c>
      <c r="L18" s="98">
        <f>L16+L17</f>
        <v>4.5999999999999996</v>
      </c>
    </row>
    <row r="19" spans="1:12" s="71" customFormat="1" ht="24.95" customHeight="1" x14ac:dyDescent="0.2">
      <c r="A19" s="99" t="s">
        <v>190</v>
      </c>
      <c r="B19" s="99">
        <f t="shared" ref="B19:G19" si="4">SUM(B14+B9+B8+B18)</f>
        <v>107.3</v>
      </c>
      <c r="C19" s="99">
        <f t="shared" si="4"/>
        <v>21</v>
      </c>
      <c r="D19" s="99">
        <f t="shared" si="4"/>
        <v>7</v>
      </c>
      <c r="E19" s="99">
        <f t="shared" si="4"/>
        <v>4</v>
      </c>
      <c r="F19" s="99">
        <f t="shared" si="4"/>
        <v>0.6</v>
      </c>
      <c r="G19" s="99">
        <f t="shared" si="4"/>
        <v>14</v>
      </c>
      <c r="H19" s="99">
        <f>G8+H14+H18</f>
        <v>5</v>
      </c>
      <c r="I19" s="99">
        <f>SUM(I14+I9+I8+I18)</f>
        <v>1</v>
      </c>
      <c r="J19" s="99">
        <f>SUM(J14+J9+J8+J18)</f>
        <v>12</v>
      </c>
      <c r="K19" s="99">
        <f>SUM(K14+K9+K8+K18)</f>
        <v>9</v>
      </c>
      <c r="L19" s="99">
        <f>SUM(L14+L9+L8+L18)</f>
        <v>69.599999999999994</v>
      </c>
    </row>
    <row r="21" spans="1:12" ht="15.75" x14ac:dyDescent="0.25">
      <c r="A21" s="105"/>
      <c r="B21" s="105"/>
      <c r="C21" s="105"/>
      <c r="D21" s="105"/>
      <c r="J21" s="97"/>
    </row>
    <row r="22" spans="1:12" x14ac:dyDescent="0.2">
      <c r="A22" s="71"/>
    </row>
    <row r="23" spans="1:12" x14ac:dyDescent="0.2">
      <c r="A23" s="71"/>
    </row>
  </sheetData>
  <phoneticPr fontId="40" type="noConversion"/>
  <printOptions horizontalCentered="1"/>
  <pageMargins left="0.23622047244094491" right="0.19685039370078741" top="0.74803149606299213" bottom="0.74803149606299213" header="0.31496062992125984" footer="0.31496062992125984"/>
  <pageSetup paperSize="9" scale="83" orientation="landscape" horizontalDpi="4294967294" r:id="rId1"/>
  <headerFooter>
    <oddHeader xml:space="preserve">&amp;C&amp;"Arial CE,Félkövér"11/2019. (V.17.) számú rendelethez
ZALAKAROS VÁROS ÖNKORMÁNYZATÁNAK ÉS KÖLTSÉGVETÉSI SZERVEI  
 2018.ÉVI LÉTSZÁMÁNAK ALAKULÁSA&amp;R&amp;A
&amp;P.oldal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0"/>
  <sheetViews>
    <sheetView view="pageLayout" topLeftCell="A16" zoomScaleNormal="100" workbookViewId="0">
      <selection activeCell="H13" sqref="H13"/>
    </sheetView>
  </sheetViews>
  <sheetFormatPr defaultRowHeight="12.75" x14ac:dyDescent="0.2"/>
  <cols>
    <col min="1" max="1" width="8.140625" customWidth="1"/>
    <col min="2" max="2" width="41" customWidth="1"/>
    <col min="3" max="3" width="14.85546875" customWidth="1"/>
    <col min="4" max="4" width="19.7109375" customWidth="1"/>
    <col min="5" max="5" width="16" customWidth="1"/>
    <col min="6" max="6" width="19.5703125" customWidth="1"/>
    <col min="7" max="7" width="19.28515625" customWidth="1"/>
    <col min="8" max="8" width="15" customWidth="1"/>
    <col min="9" max="9" width="19" customWidth="1"/>
    <col min="257" max="257" width="8.140625" customWidth="1"/>
    <col min="258" max="258" width="41" customWidth="1"/>
    <col min="259" max="259" width="14.85546875" customWidth="1"/>
    <col min="260" max="260" width="19.7109375" customWidth="1"/>
    <col min="261" max="261" width="16" customWidth="1"/>
    <col min="262" max="262" width="19.5703125" customWidth="1"/>
    <col min="263" max="263" width="19.28515625" customWidth="1"/>
    <col min="264" max="264" width="15" customWidth="1"/>
    <col min="265" max="265" width="19" customWidth="1"/>
    <col min="513" max="513" width="8.140625" customWidth="1"/>
    <col min="514" max="514" width="41" customWidth="1"/>
    <col min="515" max="515" width="14.85546875" customWidth="1"/>
    <col min="516" max="516" width="19.7109375" customWidth="1"/>
    <col min="517" max="517" width="16" customWidth="1"/>
    <col min="518" max="518" width="19.5703125" customWidth="1"/>
    <col min="519" max="519" width="19.28515625" customWidth="1"/>
    <col min="520" max="520" width="15" customWidth="1"/>
    <col min="521" max="521" width="19" customWidth="1"/>
    <col min="769" max="769" width="8.140625" customWidth="1"/>
    <col min="770" max="770" width="41" customWidth="1"/>
    <col min="771" max="771" width="14.85546875" customWidth="1"/>
    <col min="772" max="772" width="19.7109375" customWidth="1"/>
    <col min="773" max="773" width="16" customWidth="1"/>
    <col min="774" max="774" width="19.5703125" customWidth="1"/>
    <col min="775" max="775" width="19.28515625" customWidth="1"/>
    <col min="776" max="776" width="15" customWidth="1"/>
    <col min="777" max="777" width="19" customWidth="1"/>
    <col min="1025" max="1025" width="8.140625" customWidth="1"/>
    <col min="1026" max="1026" width="41" customWidth="1"/>
    <col min="1027" max="1027" width="14.85546875" customWidth="1"/>
    <col min="1028" max="1028" width="19.7109375" customWidth="1"/>
    <col min="1029" max="1029" width="16" customWidth="1"/>
    <col min="1030" max="1030" width="19.5703125" customWidth="1"/>
    <col min="1031" max="1031" width="19.28515625" customWidth="1"/>
    <col min="1032" max="1032" width="15" customWidth="1"/>
    <col min="1033" max="1033" width="19" customWidth="1"/>
    <col min="1281" max="1281" width="8.140625" customWidth="1"/>
    <col min="1282" max="1282" width="41" customWidth="1"/>
    <col min="1283" max="1283" width="14.85546875" customWidth="1"/>
    <col min="1284" max="1284" width="19.7109375" customWidth="1"/>
    <col min="1285" max="1285" width="16" customWidth="1"/>
    <col min="1286" max="1286" width="19.5703125" customWidth="1"/>
    <col min="1287" max="1287" width="19.28515625" customWidth="1"/>
    <col min="1288" max="1288" width="15" customWidth="1"/>
    <col min="1289" max="1289" width="19" customWidth="1"/>
    <col min="1537" max="1537" width="8.140625" customWidth="1"/>
    <col min="1538" max="1538" width="41" customWidth="1"/>
    <col min="1539" max="1539" width="14.85546875" customWidth="1"/>
    <col min="1540" max="1540" width="19.7109375" customWidth="1"/>
    <col min="1541" max="1541" width="16" customWidth="1"/>
    <col min="1542" max="1542" width="19.5703125" customWidth="1"/>
    <col min="1543" max="1543" width="19.28515625" customWidth="1"/>
    <col min="1544" max="1544" width="15" customWidth="1"/>
    <col min="1545" max="1545" width="19" customWidth="1"/>
    <col min="1793" max="1793" width="8.140625" customWidth="1"/>
    <col min="1794" max="1794" width="41" customWidth="1"/>
    <col min="1795" max="1795" width="14.85546875" customWidth="1"/>
    <col min="1796" max="1796" width="19.7109375" customWidth="1"/>
    <col min="1797" max="1797" width="16" customWidth="1"/>
    <col min="1798" max="1798" width="19.5703125" customWidth="1"/>
    <col min="1799" max="1799" width="19.28515625" customWidth="1"/>
    <col min="1800" max="1800" width="15" customWidth="1"/>
    <col min="1801" max="1801" width="19" customWidth="1"/>
    <col min="2049" max="2049" width="8.140625" customWidth="1"/>
    <col min="2050" max="2050" width="41" customWidth="1"/>
    <col min="2051" max="2051" width="14.85546875" customWidth="1"/>
    <col min="2052" max="2052" width="19.7109375" customWidth="1"/>
    <col min="2053" max="2053" width="16" customWidth="1"/>
    <col min="2054" max="2054" width="19.5703125" customWidth="1"/>
    <col min="2055" max="2055" width="19.28515625" customWidth="1"/>
    <col min="2056" max="2056" width="15" customWidth="1"/>
    <col min="2057" max="2057" width="19" customWidth="1"/>
    <col min="2305" max="2305" width="8.140625" customWidth="1"/>
    <col min="2306" max="2306" width="41" customWidth="1"/>
    <col min="2307" max="2307" width="14.85546875" customWidth="1"/>
    <col min="2308" max="2308" width="19.7109375" customWidth="1"/>
    <col min="2309" max="2309" width="16" customWidth="1"/>
    <col min="2310" max="2310" width="19.5703125" customWidth="1"/>
    <col min="2311" max="2311" width="19.28515625" customWidth="1"/>
    <col min="2312" max="2312" width="15" customWidth="1"/>
    <col min="2313" max="2313" width="19" customWidth="1"/>
    <col min="2561" max="2561" width="8.140625" customWidth="1"/>
    <col min="2562" max="2562" width="41" customWidth="1"/>
    <col min="2563" max="2563" width="14.85546875" customWidth="1"/>
    <col min="2564" max="2564" width="19.7109375" customWidth="1"/>
    <col min="2565" max="2565" width="16" customWidth="1"/>
    <col min="2566" max="2566" width="19.5703125" customWidth="1"/>
    <col min="2567" max="2567" width="19.28515625" customWidth="1"/>
    <col min="2568" max="2568" width="15" customWidth="1"/>
    <col min="2569" max="2569" width="19" customWidth="1"/>
    <col min="2817" max="2817" width="8.140625" customWidth="1"/>
    <col min="2818" max="2818" width="41" customWidth="1"/>
    <col min="2819" max="2819" width="14.85546875" customWidth="1"/>
    <col min="2820" max="2820" width="19.7109375" customWidth="1"/>
    <col min="2821" max="2821" width="16" customWidth="1"/>
    <col min="2822" max="2822" width="19.5703125" customWidth="1"/>
    <col min="2823" max="2823" width="19.28515625" customWidth="1"/>
    <col min="2824" max="2824" width="15" customWidth="1"/>
    <col min="2825" max="2825" width="19" customWidth="1"/>
    <col min="3073" max="3073" width="8.140625" customWidth="1"/>
    <col min="3074" max="3074" width="41" customWidth="1"/>
    <col min="3075" max="3075" width="14.85546875" customWidth="1"/>
    <col min="3076" max="3076" width="19.7109375" customWidth="1"/>
    <col min="3077" max="3077" width="16" customWidth="1"/>
    <col min="3078" max="3078" width="19.5703125" customWidth="1"/>
    <col min="3079" max="3079" width="19.28515625" customWidth="1"/>
    <col min="3080" max="3080" width="15" customWidth="1"/>
    <col min="3081" max="3081" width="19" customWidth="1"/>
    <col min="3329" max="3329" width="8.140625" customWidth="1"/>
    <col min="3330" max="3330" width="41" customWidth="1"/>
    <col min="3331" max="3331" width="14.85546875" customWidth="1"/>
    <col min="3332" max="3332" width="19.7109375" customWidth="1"/>
    <col min="3333" max="3333" width="16" customWidth="1"/>
    <col min="3334" max="3334" width="19.5703125" customWidth="1"/>
    <col min="3335" max="3335" width="19.28515625" customWidth="1"/>
    <col min="3336" max="3336" width="15" customWidth="1"/>
    <col min="3337" max="3337" width="19" customWidth="1"/>
    <col min="3585" max="3585" width="8.140625" customWidth="1"/>
    <col min="3586" max="3586" width="41" customWidth="1"/>
    <col min="3587" max="3587" width="14.85546875" customWidth="1"/>
    <col min="3588" max="3588" width="19.7109375" customWidth="1"/>
    <col min="3589" max="3589" width="16" customWidth="1"/>
    <col min="3590" max="3590" width="19.5703125" customWidth="1"/>
    <col min="3591" max="3591" width="19.28515625" customWidth="1"/>
    <col min="3592" max="3592" width="15" customWidth="1"/>
    <col min="3593" max="3593" width="19" customWidth="1"/>
    <col min="3841" max="3841" width="8.140625" customWidth="1"/>
    <col min="3842" max="3842" width="41" customWidth="1"/>
    <col min="3843" max="3843" width="14.85546875" customWidth="1"/>
    <col min="3844" max="3844" width="19.7109375" customWidth="1"/>
    <col min="3845" max="3845" width="16" customWidth="1"/>
    <col min="3846" max="3846" width="19.5703125" customWidth="1"/>
    <col min="3847" max="3847" width="19.28515625" customWidth="1"/>
    <col min="3848" max="3848" width="15" customWidth="1"/>
    <col min="3849" max="3849" width="19" customWidth="1"/>
    <col min="4097" max="4097" width="8.140625" customWidth="1"/>
    <col min="4098" max="4098" width="41" customWidth="1"/>
    <col min="4099" max="4099" width="14.85546875" customWidth="1"/>
    <col min="4100" max="4100" width="19.7109375" customWidth="1"/>
    <col min="4101" max="4101" width="16" customWidth="1"/>
    <col min="4102" max="4102" width="19.5703125" customWidth="1"/>
    <col min="4103" max="4103" width="19.28515625" customWidth="1"/>
    <col min="4104" max="4104" width="15" customWidth="1"/>
    <col min="4105" max="4105" width="19" customWidth="1"/>
    <col min="4353" max="4353" width="8.140625" customWidth="1"/>
    <col min="4354" max="4354" width="41" customWidth="1"/>
    <col min="4355" max="4355" width="14.85546875" customWidth="1"/>
    <col min="4356" max="4356" width="19.7109375" customWidth="1"/>
    <col min="4357" max="4357" width="16" customWidth="1"/>
    <col min="4358" max="4358" width="19.5703125" customWidth="1"/>
    <col min="4359" max="4359" width="19.28515625" customWidth="1"/>
    <col min="4360" max="4360" width="15" customWidth="1"/>
    <col min="4361" max="4361" width="19" customWidth="1"/>
    <col min="4609" max="4609" width="8.140625" customWidth="1"/>
    <col min="4610" max="4610" width="41" customWidth="1"/>
    <col min="4611" max="4611" width="14.85546875" customWidth="1"/>
    <col min="4612" max="4612" width="19.7109375" customWidth="1"/>
    <col min="4613" max="4613" width="16" customWidth="1"/>
    <col min="4614" max="4614" width="19.5703125" customWidth="1"/>
    <col min="4615" max="4615" width="19.28515625" customWidth="1"/>
    <col min="4616" max="4616" width="15" customWidth="1"/>
    <col min="4617" max="4617" width="19" customWidth="1"/>
    <col min="4865" max="4865" width="8.140625" customWidth="1"/>
    <col min="4866" max="4866" width="41" customWidth="1"/>
    <col min="4867" max="4867" width="14.85546875" customWidth="1"/>
    <col min="4868" max="4868" width="19.7109375" customWidth="1"/>
    <col min="4869" max="4869" width="16" customWidth="1"/>
    <col min="4870" max="4870" width="19.5703125" customWidth="1"/>
    <col min="4871" max="4871" width="19.28515625" customWidth="1"/>
    <col min="4872" max="4872" width="15" customWidth="1"/>
    <col min="4873" max="4873" width="19" customWidth="1"/>
    <col min="5121" max="5121" width="8.140625" customWidth="1"/>
    <col min="5122" max="5122" width="41" customWidth="1"/>
    <col min="5123" max="5123" width="14.85546875" customWidth="1"/>
    <col min="5124" max="5124" width="19.7109375" customWidth="1"/>
    <col min="5125" max="5125" width="16" customWidth="1"/>
    <col min="5126" max="5126" width="19.5703125" customWidth="1"/>
    <col min="5127" max="5127" width="19.28515625" customWidth="1"/>
    <col min="5128" max="5128" width="15" customWidth="1"/>
    <col min="5129" max="5129" width="19" customWidth="1"/>
    <col min="5377" max="5377" width="8.140625" customWidth="1"/>
    <col min="5378" max="5378" width="41" customWidth="1"/>
    <col min="5379" max="5379" width="14.85546875" customWidth="1"/>
    <col min="5380" max="5380" width="19.7109375" customWidth="1"/>
    <col min="5381" max="5381" width="16" customWidth="1"/>
    <col min="5382" max="5382" width="19.5703125" customWidth="1"/>
    <col min="5383" max="5383" width="19.28515625" customWidth="1"/>
    <col min="5384" max="5384" width="15" customWidth="1"/>
    <col min="5385" max="5385" width="19" customWidth="1"/>
    <col min="5633" max="5633" width="8.140625" customWidth="1"/>
    <col min="5634" max="5634" width="41" customWidth="1"/>
    <col min="5635" max="5635" width="14.85546875" customWidth="1"/>
    <col min="5636" max="5636" width="19.7109375" customWidth="1"/>
    <col min="5637" max="5637" width="16" customWidth="1"/>
    <col min="5638" max="5638" width="19.5703125" customWidth="1"/>
    <col min="5639" max="5639" width="19.28515625" customWidth="1"/>
    <col min="5640" max="5640" width="15" customWidth="1"/>
    <col min="5641" max="5641" width="19" customWidth="1"/>
    <col min="5889" max="5889" width="8.140625" customWidth="1"/>
    <col min="5890" max="5890" width="41" customWidth="1"/>
    <col min="5891" max="5891" width="14.85546875" customWidth="1"/>
    <col min="5892" max="5892" width="19.7109375" customWidth="1"/>
    <col min="5893" max="5893" width="16" customWidth="1"/>
    <col min="5894" max="5894" width="19.5703125" customWidth="1"/>
    <col min="5895" max="5895" width="19.28515625" customWidth="1"/>
    <col min="5896" max="5896" width="15" customWidth="1"/>
    <col min="5897" max="5897" width="19" customWidth="1"/>
    <col min="6145" max="6145" width="8.140625" customWidth="1"/>
    <col min="6146" max="6146" width="41" customWidth="1"/>
    <col min="6147" max="6147" width="14.85546875" customWidth="1"/>
    <col min="6148" max="6148" width="19.7109375" customWidth="1"/>
    <col min="6149" max="6149" width="16" customWidth="1"/>
    <col min="6150" max="6150" width="19.5703125" customWidth="1"/>
    <col min="6151" max="6151" width="19.28515625" customWidth="1"/>
    <col min="6152" max="6152" width="15" customWidth="1"/>
    <col min="6153" max="6153" width="19" customWidth="1"/>
    <col min="6401" max="6401" width="8.140625" customWidth="1"/>
    <col min="6402" max="6402" width="41" customWidth="1"/>
    <col min="6403" max="6403" width="14.85546875" customWidth="1"/>
    <col min="6404" max="6404" width="19.7109375" customWidth="1"/>
    <col min="6405" max="6405" width="16" customWidth="1"/>
    <col min="6406" max="6406" width="19.5703125" customWidth="1"/>
    <col min="6407" max="6407" width="19.28515625" customWidth="1"/>
    <col min="6408" max="6408" width="15" customWidth="1"/>
    <col min="6409" max="6409" width="19" customWidth="1"/>
    <col min="6657" max="6657" width="8.140625" customWidth="1"/>
    <col min="6658" max="6658" width="41" customWidth="1"/>
    <col min="6659" max="6659" width="14.85546875" customWidth="1"/>
    <col min="6660" max="6660" width="19.7109375" customWidth="1"/>
    <col min="6661" max="6661" width="16" customWidth="1"/>
    <col min="6662" max="6662" width="19.5703125" customWidth="1"/>
    <col min="6663" max="6663" width="19.28515625" customWidth="1"/>
    <col min="6664" max="6664" width="15" customWidth="1"/>
    <col min="6665" max="6665" width="19" customWidth="1"/>
    <col min="6913" max="6913" width="8.140625" customWidth="1"/>
    <col min="6914" max="6914" width="41" customWidth="1"/>
    <col min="6915" max="6915" width="14.85546875" customWidth="1"/>
    <col min="6916" max="6916" width="19.7109375" customWidth="1"/>
    <col min="6917" max="6917" width="16" customWidth="1"/>
    <col min="6918" max="6918" width="19.5703125" customWidth="1"/>
    <col min="6919" max="6919" width="19.28515625" customWidth="1"/>
    <col min="6920" max="6920" width="15" customWidth="1"/>
    <col min="6921" max="6921" width="19" customWidth="1"/>
    <col min="7169" max="7169" width="8.140625" customWidth="1"/>
    <col min="7170" max="7170" width="41" customWidth="1"/>
    <col min="7171" max="7171" width="14.85546875" customWidth="1"/>
    <col min="7172" max="7172" width="19.7109375" customWidth="1"/>
    <col min="7173" max="7173" width="16" customWidth="1"/>
    <col min="7174" max="7174" width="19.5703125" customWidth="1"/>
    <col min="7175" max="7175" width="19.28515625" customWidth="1"/>
    <col min="7176" max="7176" width="15" customWidth="1"/>
    <col min="7177" max="7177" width="19" customWidth="1"/>
    <col min="7425" max="7425" width="8.140625" customWidth="1"/>
    <col min="7426" max="7426" width="41" customWidth="1"/>
    <col min="7427" max="7427" width="14.85546875" customWidth="1"/>
    <col min="7428" max="7428" width="19.7109375" customWidth="1"/>
    <col min="7429" max="7429" width="16" customWidth="1"/>
    <col min="7430" max="7430" width="19.5703125" customWidth="1"/>
    <col min="7431" max="7431" width="19.28515625" customWidth="1"/>
    <col min="7432" max="7432" width="15" customWidth="1"/>
    <col min="7433" max="7433" width="19" customWidth="1"/>
    <col min="7681" max="7681" width="8.140625" customWidth="1"/>
    <col min="7682" max="7682" width="41" customWidth="1"/>
    <col min="7683" max="7683" width="14.85546875" customWidth="1"/>
    <col min="7684" max="7684" width="19.7109375" customWidth="1"/>
    <col min="7685" max="7685" width="16" customWidth="1"/>
    <col min="7686" max="7686" width="19.5703125" customWidth="1"/>
    <col min="7687" max="7687" width="19.28515625" customWidth="1"/>
    <col min="7688" max="7688" width="15" customWidth="1"/>
    <col min="7689" max="7689" width="19" customWidth="1"/>
    <col min="7937" max="7937" width="8.140625" customWidth="1"/>
    <col min="7938" max="7938" width="41" customWidth="1"/>
    <col min="7939" max="7939" width="14.85546875" customWidth="1"/>
    <col min="7940" max="7940" width="19.7109375" customWidth="1"/>
    <col min="7941" max="7941" width="16" customWidth="1"/>
    <col min="7942" max="7942" width="19.5703125" customWidth="1"/>
    <col min="7943" max="7943" width="19.28515625" customWidth="1"/>
    <col min="7944" max="7944" width="15" customWidth="1"/>
    <col min="7945" max="7945" width="19" customWidth="1"/>
    <col min="8193" max="8193" width="8.140625" customWidth="1"/>
    <col min="8194" max="8194" width="41" customWidth="1"/>
    <col min="8195" max="8195" width="14.85546875" customWidth="1"/>
    <col min="8196" max="8196" width="19.7109375" customWidth="1"/>
    <col min="8197" max="8197" width="16" customWidth="1"/>
    <col min="8198" max="8198" width="19.5703125" customWidth="1"/>
    <col min="8199" max="8199" width="19.28515625" customWidth="1"/>
    <col min="8200" max="8200" width="15" customWidth="1"/>
    <col min="8201" max="8201" width="19" customWidth="1"/>
    <col min="8449" max="8449" width="8.140625" customWidth="1"/>
    <col min="8450" max="8450" width="41" customWidth="1"/>
    <col min="8451" max="8451" width="14.85546875" customWidth="1"/>
    <col min="8452" max="8452" width="19.7109375" customWidth="1"/>
    <col min="8453" max="8453" width="16" customWidth="1"/>
    <col min="8454" max="8454" width="19.5703125" customWidth="1"/>
    <col min="8455" max="8455" width="19.28515625" customWidth="1"/>
    <col min="8456" max="8456" width="15" customWidth="1"/>
    <col min="8457" max="8457" width="19" customWidth="1"/>
    <col min="8705" max="8705" width="8.140625" customWidth="1"/>
    <col min="8706" max="8706" width="41" customWidth="1"/>
    <col min="8707" max="8707" width="14.85546875" customWidth="1"/>
    <col min="8708" max="8708" width="19.7109375" customWidth="1"/>
    <col min="8709" max="8709" width="16" customWidth="1"/>
    <col min="8710" max="8710" width="19.5703125" customWidth="1"/>
    <col min="8711" max="8711" width="19.28515625" customWidth="1"/>
    <col min="8712" max="8712" width="15" customWidth="1"/>
    <col min="8713" max="8713" width="19" customWidth="1"/>
    <col min="8961" max="8961" width="8.140625" customWidth="1"/>
    <col min="8962" max="8962" width="41" customWidth="1"/>
    <col min="8963" max="8963" width="14.85546875" customWidth="1"/>
    <col min="8964" max="8964" width="19.7109375" customWidth="1"/>
    <col min="8965" max="8965" width="16" customWidth="1"/>
    <col min="8966" max="8966" width="19.5703125" customWidth="1"/>
    <col min="8967" max="8967" width="19.28515625" customWidth="1"/>
    <col min="8968" max="8968" width="15" customWidth="1"/>
    <col min="8969" max="8969" width="19" customWidth="1"/>
    <col min="9217" max="9217" width="8.140625" customWidth="1"/>
    <col min="9218" max="9218" width="41" customWidth="1"/>
    <col min="9219" max="9219" width="14.85546875" customWidth="1"/>
    <col min="9220" max="9220" width="19.7109375" customWidth="1"/>
    <col min="9221" max="9221" width="16" customWidth="1"/>
    <col min="9222" max="9222" width="19.5703125" customWidth="1"/>
    <col min="9223" max="9223" width="19.28515625" customWidth="1"/>
    <col min="9224" max="9224" width="15" customWidth="1"/>
    <col min="9225" max="9225" width="19" customWidth="1"/>
    <col min="9473" max="9473" width="8.140625" customWidth="1"/>
    <col min="9474" max="9474" width="41" customWidth="1"/>
    <col min="9475" max="9475" width="14.85546875" customWidth="1"/>
    <col min="9476" max="9476" width="19.7109375" customWidth="1"/>
    <col min="9477" max="9477" width="16" customWidth="1"/>
    <col min="9478" max="9478" width="19.5703125" customWidth="1"/>
    <col min="9479" max="9479" width="19.28515625" customWidth="1"/>
    <col min="9480" max="9480" width="15" customWidth="1"/>
    <col min="9481" max="9481" width="19" customWidth="1"/>
    <col min="9729" max="9729" width="8.140625" customWidth="1"/>
    <col min="9730" max="9730" width="41" customWidth="1"/>
    <col min="9731" max="9731" width="14.85546875" customWidth="1"/>
    <col min="9732" max="9732" width="19.7109375" customWidth="1"/>
    <col min="9733" max="9733" width="16" customWidth="1"/>
    <col min="9734" max="9734" width="19.5703125" customWidth="1"/>
    <col min="9735" max="9735" width="19.28515625" customWidth="1"/>
    <col min="9736" max="9736" width="15" customWidth="1"/>
    <col min="9737" max="9737" width="19" customWidth="1"/>
    <col min="9985" max="9985" width="8.140625" customWidth="1"/>
    <col min="9986" max="9986" width="41" customWidth="1"/>
    <col min="9987" max="9987" width="14.85546875" customWidth="1"/>
    <col min="9988" max="9988" width="19.7109375" customWidth="1"/>
    <col min="9989" max="9989" width="16" customWidth="1"/>
    <col min="9990" max="9990" width="19.5703125" customWidth="1"/>
    <col min="9991" max="9991" width="19.28515625" customWidth="1"/>
    <col min="9992" max="9992" width="15" customWidth="1"/>
    <col min="9993" max="9993" width="19" customWidth="1"/>
    <col min="10241" max="10241" width="8.140625" customWidth="1"/>
    <col min="10242" max="10242" width="41" customWidth="1"/>
    <col min="10243" max="10243" width="14.85546875" customWidth="1"/>
    <col min="10244" max="10244" width="19.7109375" customWidth="1"/>
    <col min="10245" max="10245" width="16" customWidth="1"/>
    <col min="10246" max="10246" width="19.5703125" customWidth="1"/>
    <col min="10247" max="10247" width="19.28515625" customWidth="1"/>
    <col min="10248" max="10248" width="15" customWidth="1"/>
    <col min="10249" max="10249" width="19" customWidth="1"/>
    <col min="10497" max="10497" width="8.140625" customWidth="1"/>
    <col min="10498" max="10498" width="41" customWidth="1"/>
    <col min="10499" max="10499" width="14.85546875" customWidth="1"/>
    <col min="10500" max="10500" width="19.7109375" customWidth="1"/>
    <col min="10501" max="10501" width="16" customWidth="1"/>
    <col min="10502" max="10502" width="19.5703125" customWidth="1"/>
    <col min="10503" max="10503" width="19.28515625" customWidth="1"/>
    <col min="10504" max="10504" width="15" customWidth="1"/>
    <col min="10505" max="10505" width="19" customWidth="1"/>
    <col min="10753" max="10753" width="8.140625" customWidth="1"/>
    <col min="10754" max="10754" width="41" customWidth="1"/>
    <col min="10755" max="10755" width="14.85546875" customWidth="1"/>
    <col min="10756" max="10756" width="19.7109375" customWidth="1"/>
    <col min="10757" max="10757" width="16" customWidth="1"/>
    <col min="10758" max="10758" width="19.5703125" customWidth="1"/>
    <col min="10759" max="10759" width="19.28515625" customWidth="1"/>
    <col min="10760" max="10760" width="15" customWidth="1"/>
    <col min="10761" max="10761" width="19" customWidth="1"/>
    <col min="11009" max="11009" width="8.140625" customWidth="1"/>
    <col min="11010" max="11010" width="41" customWidth="1"/>
    <col min="11011" max="11011" width="14.85546875" customWidth="1"/>
    <col min="11012" max="11012" width="19.7109375" customWidth="1"/>
    <col min="11013" max="11013" width="16" customWidth="1"/>
    <col min="11014" max="11014" width="19.5703125" customWidth="1"/>
    <col min="11015" max="11015" width="19.28515625" customWidth="1"/>
    <col min="11016" max="11016" width="15" customWidth="1"/>
    <col min="11017" max="11017" width="19" customWidth="1"/>
    <col min="11265" max="11265" width="8.140625" customWidth="1"/>
    <col min="11266" max="11266" width="41" customWidth="1"/>
    <col min="11267" max="11267" width="14.85546875" customWidth="1"/>
    <col min="11268" max="11268" width="19.7109375" customWidth="1"/>
    <col min="11269" max="11269" width="16" customWidth="1"/>
    <col min="11270" max="11270" width="19.5703125" customWidth="1"/>
    <col min="11271" max="11271" width="19.28515625" customWidth="1"/>
    <col min="11272" max="11272" width="15" customWidth="1"/>
    <col min="11273" max="11273" width="19" customWidth="1"/>
    <col min="11521" max="11521" width="8.140625" customWidth="1"/>
    <col min="11522" max="11522" width="41" customWidth="1"/>
    <col min="11523" max="11523" width="14.85546875" customWidth="1"/>
    <col min="11524" max="11524" width="19.7109375" customWidth="1"/>
    <col min="11525" max="11525" width="16" customWidth="1"/>
    <col min="11526" max="11526" width="19.5703125" customWidth="1"/>
    <col min="11527" max="11527" width="19.28515625" customWidth="1"/>
    <col min="11528" max="11528" width="15" customWidth="1"/>
    <col min="11529" max="11529" width="19" customWidth="1"/>
    <col min="11777" max="11777" width="8.140625" customWidth="1"/>
    <col min="11778" max="11778" width="41" customWidth="1"/>
    <col min="11779" max="11779" width="14.85546875" customWidth="1"/>
    <col min="11780" max="11780" width="19.7109375" customWidth="1"/>
    <col min="11781" max="11781" width="16" customWidth="1"/>
    <col min="11782" max="11782" width="19.5703125" customWidth="1"/>
    <col min="11783" max="11783" width="19.28515625" customWidth="1"/>
    <col min="11784" max="11784" width="15" customWidth="1"/>
    <col min="11785" max="11785" width="19" customWidth="1"/>
    <col min="12033" max="12033" width="8.140625" customWidth="1"/>
    <col min="12034" max="12034" width="41" customWidth="1"/>
    <col min="12035" max="12035" width="14.85546875" customWidth="1"/>
    <col min="12036" max="12036" width="19.7109375" customWidth="1"/>
    <col min="12037" max="12037" width="16" customWidth="1"/>
    <col min="12038" max="12038" width="19.5703125" customWidth="1"/>
    <col min="12039" max="12039" width="19.28515625" customWidth="1"/>
    <col min="12040" max="12040" width="15" customWidth="1"/>
    <col min="12041" max="12041" width="19" customWidth="1"/>
    <col min="12289" max="12289" width="8.140625" customWidth="1"/>
    <col min="12290" max="12290" width="41" customWidth="1"/>
    <col min="12291" max="12291" width="14.85546875" customWidth="1"/>
    <col min="12292" max="12292" width="19.7109375" customWidth="1"/>
    <col min="12293" max="12293" width="16" customWidth="1"/>
    <col min="12294" max="12294" width="19.5703125" customWidth="1"/>
    <col min="12295" max="12295" width="19.28515625" customWidth="1"/>
    <col min="12296" max="12296" width="15" customWidth="1"/>
    <col min="12297" max="12297" width="19" customWidth="1"/>
    <col min="12545" max="12545" width="8.140625" customWidth="1"/>
    <col min="12546" max="12546" width="41" customWidth="1"/>
    <col min="12547" max="12547" width="14.85546875" customWidth="1"/>
    <col min="12548" max="12548" width="19.7109375" customWidth="1"/>
    <col min="12549" max="12549" width="16" customWidth="1"/>
    <col min="12550" max="12550" width="19.5703125" customWidth="1"/>
    <col min="12551" max="12551" width="19.28515625" customWidth="1"/>
    <col min="12552" max="12552" width="15" customWidth="1"/>
    <col min="12553" max="12553" width="19" customWidth="1"/>
    <col min="12801" max="12801" width="8.140625" customWidth="1"/>
    <col min="12802" max="12802" width="41" customWidth="1"/>
    <col min="12803" max="12803" width="14.85546875" customWidth="1"/>
    <col min="12804" max="12804" width="19.7109375" customWidth="1"/>
    <col min="12805" max="12805" width="16" customWidth="1"/>
    <col min="12806" max="12806" width="19.5703125" customWidth="1"/>
    <col min="12807" max="12807" width="19.28515625" customWidth="1"/>
    <col min="12808" max="12808" width="15" customWidth="1"/>
    <col min="12809" max="12809" width="19" customWidth="1"/>
    <col min="13057" max="13057" width="8.140625" customWidth="1"/>
    <col min="13058" max="13058" width="41" customWidth="1"/>
    <col min="13059" max="13059" width="14.85546875" customWidth="1"/>
    <col min="13060" max="13060" width="19.7109375" customWidth="1"/>
    <col min="13061" max="13061" width="16" customWidth="1"/>
    <col min="13062" max="13062" width="19.5703125" customWidth="1"/>
    <col min="13063" max="13063" width="19.28515625" customWidth="1"/>
    <col min="13064" max="13064" width="15" customWidth="1"/>
    <col min="13065" max="13065" width="19" customWidth="1"/>
    <col min="13313" max="13313" width="8.140625" customWidth="1"/>
    <col min="13314" max="13314" width="41" customWidth="1"/>
    <col min="13315" max="13315" width="14.85546875" customWidth="1"/>
    <col min="13316" max="13316" width="19.7109375" customWidth="1"/>
    <col min="13317" max="13317" width="16" customWidth="1"/>
    <col min="13318" max="13318" width="19.5703125" customWidth="1"/>
    <col min="13319" max="13319" width="19.28515625" customWidth="1"/>
    <col min="13320" max="13320" width="15" customWidth="1"/>
    <col min="13321" max="13321" width="19" customWidth="1"/>
    <col min="13569" max="13569" width="8.140625" customWidth="1"/>
    <col min="13570" max="13570" width="41" customWidth="1"/>
    <col min="13571" max="13571" width="14.85546875" customWidth="1"/>
    <col min="13572" max="13572" width="19.7109375" customWidth="1"/>
    <col min="13573" max="13573" width="16" customWidth="1"/>
    <col min="13574" max="13574" width="19.5703125" customWidth="1"/>
    <col min="13575" max="13575" width="19.28515625" customWidth="1"/>
    <col min="13576" max="13576" width="15" customWidth="1"/>
    <col min="13577" max="13577" width="19" customWidth="1"/>
    <col min="13825" max="13825" width="8.140625" customWidth="1"/>
    <col min="13826" max="13826" width="41" customWidth="1"/>
    <col min="13827" max="13827" width="14.85546875" customWidth="1"/>
    <col min="13828" max="13828" width="19.7109375" customWidth="1"/>
    <col min="13829" max="13829" width="16" customWidth="1"/>
    <col min="13830" max="13830" width="19.5703125" customWidth="1"/>
    <col min="13831" max="13831" width="19.28515625" customWidth="1"/>
    <col min="13832" max="13832" width="15" customWidth="1"/>
    <col min="13833" max="13833" width="19" customWidth="1"/>
    <col min="14081" max="14081" width="8.140625" customWidth="1"/>
    <col min="14082" max="14082" width="41" customWidth="1"/>
    <col min="14083" max="14083" width="14.85546875" customWidth="1"/>
    <col min="14084" max="14084" width="19.7109375" customWidth="1"/>
    <col min="14085" max="14085" width="16" customWidth="1"/>
    <col min="14086" max="14086" width="19.5703125" customWidth="1"/>
    <col min="14087" max="14087" width="19.28515625" customWidth="1"/>
    <col min="14088" max="14088" width="15" customWidth="1"/>
    <col min="14089" max="14089" width="19" customWidth="1"/>
    <col min="14337" max="14337" width="8.140625" customWidth="1"/>
    <col min="14338" max="14338" width="41" customWidth="1"/>
    <col min="14339" max="14339" width="14.85546875" customWidth="1"/>
    <col min="14340" max="14340" width="19.7109375" customWidth="1"/>
    <col min="14341" max="14341" width="16" customWidth="1"/>
    <col min="14342" max="14342" width="19.5703125" customWidth="1"/>
    <col min="14343" max="14343" width="19.28515625" customWidth="1"/>
    <col min="14344" max="14344" width="15" customWidth="1"/>
    <col min="14345" max="14345" width="19" customWidth="1"/>
    <col min="14593" max="14593" width="8.140625" customWidth="1"/>
    <col min="14594" max="14594" width="41" customWidth="1"/>
    <col min="14595" max="14595" width="14.85546875" customWidth="1"/>
    <col min="14596" max="14596" width="19.7109375" customWidth="1"/>
    <col min="14597" max="14597" width="16" customWidth="1"/>
    <col min="14598" max="14598" width="19.5703125" customWidth="1"/>
    <col min="14599" max="14599" width="19.28515625" customWidth="1"/>
    <col min="14600" max="14600" width="15" customWidth="1"/>
    <col min="14601" max="14601" width="19" customWidth="1"/>
    <col min="14849" max="14849" width="8.140625" customWidth="1"/>
    <col min="14850" max="14850" width="41" customWidth="1"/>
    <col min="14851" max="14851" width="14.85546875" customWidth="1"/>
    <col min="14852" max="14852" width="19.7109375" customWidth="1"/>
    <col min="14853" max="14853" width="16" customWidth="1"/>
    <col min="14854" max="14854" width="19.5703125" customWidth="1"/>
    <col min="14855" max="14855" width="19.28515625" customWidth="1"/>
    <col min="14856" max="14856" width="15" customWidth="1"/>
    <col min="14857" max="14857" width="19" customWidth="1"/>
    <col min="15105" max="15105" width="8.140625" customWidth="1"/>
    <col min="15106" max="15106" width="41" customWidth="1"/>
    <col min="15107" max="15107" width="14.85546875" customWidth="1"/>
    <col min="15108" max="15108" width="19.7109375" customWidth="1"/>
    <col min="15109" max="15109" width="16" customWidth="1"/>
    <col min="15110" max="15110" width="19.5703125" customWidth="1"/>
    <col min="15111" max="15111" width="19.28515625" customWidth="1"/>
    <col min="15112" max="15112" width="15" customWidth="1"/>
    <col min="15113" max="15113" width="19" customWidth="1"/>
    <col min="15361" max="15361" width="8.140625" customWidth="1"/>
    <col min="15362" max="15362" width="41" customWidth="1"/>
    <col min="15363" max="15363" width="14.85546875" customWidth="1"/>
    <col min="15364" max="15364" width="19.7109375" customWidth="1"/>
    <col min="15365" max="15365" width="16" customWidth="1"/>
    <col min="15366" max="15366" width="19.5703125" customWidth="1"/>
    <col min="15367" max="15367" width="19.28515625" customWidth="1"/>
    <col min="15368" max="15368" width="15" customWidth="1"/>
    <col min="15369" max="15369" width="19" customWidth="1"/>
    <col min="15617" max="15617" width="8.140625" customWidth="1"/>
    <col min="15618" max="15618" width="41" customWidth="1"/>
    <col min="15619" max="15619" width="14.85546875" customWidth="1"/>
    <col min="15620" max="15620" width="19.7109375" customWidth="1"/>
    <col min="15621" max="15621" width="16" customWidth="1"/>
    <col min="15622" max="15622" width="19.5703125" customWidth="1"/>
    <col min="15623" max="15623" width="19.28515625" customWidth="1"/>
    <col min="15624" max="15624" width="15" customWidth="1"/>
    <col min="15625" max="15625" width="19" customWidth="1"/>
    <col min="15873" max="15873" width="8.140625" customWidth="1"/>
    <col min="15874" max="15874" width="41" customWidth="1"/>
    <col min="15875" max="15875" width="14.85546875" customWidth="1"/>
    <col min="15876" max="15876" width="19.7109375" customWidth="1"/>
    <col min="15877" max="15877" width="16" customWidth="1"/>
    <col min="15878" max="15878" width="19.5703125" customWidth="1"/>
    <col min="15879" max="15879" width="19.28515625" customWidth="1"/>
    <col min="15880" max="15880" width="15" customWidth="1"/>
    <col min="15881" max="15881" width="19" customWidth="1"/>
    <col min="16129" max="16129" width="8.140625" customWidth="1"/>
    <col min="16130" max="16130" width="41" customWidth="1"/>
    <col min="16131" max="16131" width="14.85546875" customWidth="1"/>
    <col min="16132" max="16132" width="19.7109375" customWidth="1"/>
    <col min="16133" max="16133" width="16" customWidth="1"/>
    <col min="16134" max="16134" width="19.5703125" customWidth="1"/>
    <col min="16135" max="16135" width="19.28515625" customWidth="1"/>
    <col min="16136" max="16136" width="15" customWidth="1"/>
    <col min="16137" max="16137" width="19" customWidth="1"/>
  </cols>
  <sheetData>
    <row r="1" spans="1:9" x14ac:dyDescent="0.2">
      <c r="A1" s="1052" t="s">
        <v>1077</v>
      </c>
      <c r="B1" s="1053"/>
      <c r="C1" s="1053"/>
      <c r="D1" s="1053"/>
      <c r="E1" s="1053"/>
      <c r="F1" s="1053"/>
      <c r="G1" s="1053"/>
      <c r="H1" s="1053"/>
      <c r="I1" s="1054"/>
    </row>
    <row r="2" spans="1:9" s="707" customFormat="1" ht="15" x14ac:dyDescent="0.2">
      <c r="A2" s="714"/>
      <c r="B2" s="715"/>
      <c r="C2" s="715"/>
      <c r="D2" s="715"/>
      <c r="E2" s="715"/>
      <c r="F2" s="715"/>
      <c r="G2" s="715"/>
      <c r="H2" s="715"/>
      <c r="I2" s="715"/>
    </row>
    <row r="3" spans="1:9" ht="150" x14ac:dyDescent="0.2">
      <c r="A3" s="713" t="s">
        <v>705</v>
      </c>
      <c r="B3" s="713" t="s">
        <v>15</v>
      </c>
      <c r="C3" s="713" t="s">
        <v>1078</v>
      </c>
      <c r="D3" s="713" t="s">
        <v>1079</v>
      </c>
      <c r="E3" s="713" t="s">
        <v>1080</v>
      </c>
      <c r="F3" s="713" t="s">
        <v>1081</v>
      </c>
      <c r="G3" s="713" t="s">
        <v>1082</v>
      </c>
      <c r="H3" s="713" t="s">
        <v>1083</v>
      </c>
      <c r="I3" s="713" t="s">
        <v>1084</v>
      </c>
    </row>
    <row r="4" spans="1:9" ht="15" x14ac:dyDescent="0.2">
      <c r="A4" s="712">
        <v>1</v>
      </c>
      <c r="B4" s="712">
        <v>2</v>
      </c>
      <c r="C4" s="712">
        <v>3</v>
      </c>
      <c r="D4" s="712">
        <v>4</v>
      </c>
      <c r="E4" s="712">
        <v>5</v>
      </c>
      <c r="F4" s="712">
        <v>6</v>
      </c>
      <c r="G4" s="712">
        <v>7</v>
      </c>
      <c r="H4" s="712">
        <v>8</v>
      </c>
      <c r="I4" s="712">
        <v>9</v>
      </c>
    </row>
    <row r="5" spans="1:9" ht="25.5" x14ac:dyDescent="0.2">
      <c r="A5" s="719" t="s">
        <v>1085</v>
      </c>
      <c r="B5" s="720" t="s">
        <v>1086</v>
      </c>
      <c r="C5" s="721">
        <v>193723572</v>
      </c>
      <c r="D5" s="721">
        <v>189807103</v>
      </c>
      <c r="E5" s="721">
        <v>0</v>
      </c>
      <c r="F5" s="721">
        <v>188971582</v>
      </c>
      <c r="G5" s="721">
        <v>541794240</v>
      </c>
      <c r="H5" s="721">
        <v>0</v>
      </c>
      <c r="I5" s="721">
        <v>188971582</v>
      </c>
    </row>
    <row r="6" spans="1:9" x14ac:dyDescent="0.2">
      <c r="A6" s="719" t="s">
        <v>1087</v>
      </c>
      <c r="B6" s="720" t="s">
        <v>1088</v>
      </c>
      <c r="C6" s="721">
        <v>890000</v>
      </c>
      <c r="D6" s="721">
        <v>7416800</v>
      </c>
      <c r="E6" s="721">
        <v>0</v>
      </c>
      <c r="F6" s="721">
        <v>7291496</v>
      </c>
      <c r="G6" s="721">
        <v>0</v>
      </c>
      <c r="H6" s="721">
        <v>0</v>
      </c>
      <c r="I6" s="721">
        <v>7291496</v>
      </c>
    </row>
    <row r="7" spans="1:9" ht="25.5" x14ac:dyDescent="0.2">
      <c r="A7" s="719" t="s">
        <v>1089</v>
      </c>
      <c r="B7" s="720" t="s">
        <v>1090</v>
      </c>
      <c r="C7" s="721">
        <v>1519965</v>
      </c>
      <c r="D7" s="721">
        <v>2088392</v>
      </c>
      <c r="E7" s="721">
        <v>0</v>
      </c>
      <c r="F7" s="721">
        <v>2088392</v>
      </c>
      <c r="G7" s="721">
        <v>0</v>
      </c>
      <c r="H7" s="721">
        <v>0</v>
      </c>
      <c r="I7" s="721">
        <v>2088392</v>
      </c>
    </row>
    <row r="8" spans="1:9" x14ac:dyDescent="0.2">
      <c r="A8" s="719" t="s">
        <v>1091</v>
      </c>
      <c r="B8" s="720" t="s">
        <v>1092</v>
      </c>
      <c r="C8" s="721">
        <v>1219000</v>
      </c>
      <c r="D8" s="721">
        <v>1200000</v>
      </c>
      <c r="E8" s="721">
        <v>0</v>
      </c>
      <c r="F8" s="721">
        <v>1200000</v>
      </c>
      <c r="G8" s="721">
        <v>0</v>
      </c>
      <c r="H8" s="721">
        <v>0</v>
      </c>
      <c r="I8" s="721">
        <v>1200000</v>
      </c>
    </row>
    <row r="9" spans="1:9" x14ac:dyDescent="0.2">
      <c r="A9" s="719" t="s">
        <v>1093</v>
      </c>
      <c r="B9" s="720" t="s">
        <v>1094</v>
      </c>
      <c r="C9" s="721">
        <v>8776574</v>
      </c>
      <c r="D9" s="721">
        <v>8612580</v>
      </c>
      <c r="E9" s="721">
        <v>0</v>
      </c>
      <c r="F9" s="721">
        <v>8612580</v>
      </c>
      <c r="G9" s="721">
        <v>0</v>
      </c>
      <c r="H9" s="721">
        <v>0</v>
      </c>
      <c r="I9" s="721">
        <v>8612580</v>
      </c>
    </row>
    <row r="10" spans="1:9" x14ac:dyDescent="0.2">
      <c r="A10" s="719" t="s">
        <v>1095</v>
      </c>
      <c r="B10" s="720" t="s">
        <v>1096</v>
      </c>
      <c r="C10" s="721">
        <v>2434608</v>
      </c>
      <c r="D10" s="721">
        <v>2772545</v>
      </c>
      <c r="E10" s="721">
        <v>0</v>
      </c>
      <c r="F10" s="721">
        <v>2744506</v>
      </c>
      <c r="G10" s="721">
        <v>0</v>
      </c>
      <c r="H10" s="721">
        <v>0</v>
      </c>
      <c r="I10" s="721">
        <v>2744506</v>
      </c>
    </row>
    <row r="11" spans="1:9" x14ac:dyDescent="0.2">
      <c r="A11" s="719" t="s">
        <v>1097</v>
      </c>
      <c r="B11" s="720" t="s">
        <v>1098</v>
      </c>
      <c r="C11" s="721">
        <v>300000</v>
      </c>
      <c r="D11" s="721">
        <v>0</v>
      </c>
      <c r="E11" s="721">
        <v>0</v>
      </c>
      <c r="F11" s="721">
        <v>0</v>
      </c>
      <c r="G11" s="721">
        <v>0</v>
      </c>
      <c r="H11" s="721">
        <v>0</v>
      </c>
      <c r="I11" s="721">
        <v>0</v>
      </c>
    </row>
    <row r="12" spans="1:9" ht="25.5" x14ac:dyDescent="0.2">
      <c r="A12" s="719" t="s">
        <v>1099</v>
      </c>
      <c r="B12" s="720" t="s">
        <v>1100</v>
      </c>
      <c r="C12" s="721">
        <v>870000</v>
      </c>
      <c r="D12" s="721">
        <v>5522657</v>
      </c>
      <c r="E12" s="721">
        <v>0</v>
      </c>
      <c r="F12" s="721">
        <v>5278728</v>
      </c>
      <c r="G12" s="721">
        <v>0</v>
      </c>
      <c r="H12" s="721">
        <v>0</v>
      </c>
      <c r="I12" s="721">
        <v>5278728</v>
      </c>
    </row>
    <row r="13" spans="1:9" ht="25.5" x14ac:dyDescent="0.2">
      <c r="A13" s="719" t="s">
        <v>1101</v>
      </c>
      <c r="B13" s="720" t="s">
        <v>1102</v>
      </c>
      <c r="C13" s="721">
        <v>209733719</v>
      </c>
      <c r="D13" s="721">
        <v>217420077</v>
      </c>
      <c r="E13" s="721">
        <v>0</v>
      </c>
      <c r="F13" s="721">
        <v>216187284</v>
      </c>
      <c r="G13" s="721">
        <v>541794240</v>
      </c>
      <c r="H13" s="721">
        <v>0</v>
      </c>
      <c r="I13" s="721">
        <v>216187284</v>
      </c>
    </row>
    <row r="14" spans="1:9" x14ac:dyDescent="0.2">
      <c r="A14" s="719" t="s">
        <v>1103</v>
      </c>
      <c r="B14" s="720" t="s">
        <v>1104</v>
      </c>
      <c r="C14" s="721">
        <v>18255220</v>
      </c>
      <c r="D14" s="721">
        <v>18255220</v>
      </c>
      <c r="E14" s="721">
        <v>0</v>
      </c>
      <c r="F14" s="721">
        <v>18209782</v>
      </c>
      <c r="G14" s="721">
        <v>0</v>
      </c>
      <c r="H14" s="721">
        <v>0</v>
      </c>
      <c r="I14" s="721">
        <v>18209782</v>
      </c>
    </row>
    <row r="15" spans="1:9" ht="38.25" x14ac:dyDescent="0.2">
      <c r="A15" s="719" t="s">
        <v>1105</v>
      </c>
      <c r="B15" s="720" t="s">
        <v>1106</v>
      </c>
      <c r="C15" s="721">
        <v>3402434</v>
      </c>
      <c r="D15" s="721">
        <v>8042253</v>
      </c>
      <c r="E15" s="721">
        <v>0</v>
      </c>
      <c r="F15" s="721">
        <v>7849085</v>
      </c>
      <c r="G15" s="721">
        <v>0</v>
      </c>
      <c r="H15" s="721">
        <v>0</v>
      </c>
      <c r="I15" s="721">
        <v>7849085</v>
      </c>
    </row>
    <row r="16" spans="1:9" x14ac:dyDescent="0.2">
      <c r="A16" s="719" t="s">
        <v>1107</v>
      </c>
      <c r="B16" s="720" t="s">
        <v>1108</v>
      </c>
      <c r="C16" s="721">
        <v>6200000</v>
      </c>
      <c r="D16" s="721">
        <v>8595613</v>
      </c>
      <c r="E16" s="721">
        <v>0</v>
      </c>
      <c r="F16" s="721">
        <v>7600345</v>
      </c>
      <c r="G16" s="721">
        <v>0</v>
      </c>
      <c r="H16" s="721">
        <v>0</v>
      </c>
      <c r="I16" s="721">
        <v>7600345</v>
      </c>
    </row>
    <row r="17" spans="1:9" x14ac:dyDescent="0.2">
      <c r="A17" s="719" t="s">
        <v>1109</v>
      </c>
      <c r="B17" s="720" t="s">
        <v>1110</v>
      </c>
      <c r="C17" s="721">
        <v>27857654</v>
      </c>
      <c r="D17" s="721">
        <v>34893086</v>
      </c>
      <c r="E17" s="721">
        <v>0</v>
      </c>
      <c r="F17" s="721">
        <v>33659212</v>
      </c>
      <c r="G17" s="721">
        <v>0</v>
      </c>
      <c r="H17" s="721">
        <v>0</v>
      </c>
      <c r="I17" s="721">
        <v>33659212</v>
      </c>
    </row>
    <row r="18" spans="1:9" x14ac:dyDescent="0.2">
      <c r="A18" s="722" t="s">
        <v>1111</v>
      </c>
      <c r="B18" s="723" t="s">
        <v>1112</v>
      </c>
      <c r="C18" s="724">
        <v>237591373</v>
      </c>
      <c r="D18" s="724">
        <v>252313163</v>
      </c>
      <c r="E18" s="724">
        <v>0</v>
      </c>
      <c r="F18" s="724">
        <v>249846496</v>
      </c>
      <c r="G18" s="724">
        <v>541794240</v>
      </c>
      <c r="H18" s="724">
        <v>0</v>
      </c>
      <c r="I18" s="724">
        <v>249846496</v>
      </c>
    </row>
    <row r="19" spans="1:9" ht="25.5" x14ac:dyDescent="0.2">
      <c r="A19" s="722" t="s">
        <v>1113</v>
      </c>
      <c r="B19" s="723" t="s">
        <v>1114</v>
      </c>
      <c r="C19" s="724">
        <v>49918348</v>
      </c>
      <c r="D19" s="724">
        <v>52517385</v>
      </c>
      <c r="E19" s="724">
        <v>0</v>
      </c>
      <c r="F19" s="724">
        <v>51117047</v>
      </c>
      <c r="G19" s="724">
        <v>101801202</v>
      </c>
      <c r="H19" s="724">
        <v>0</v>
      </c>
      <c r="I19" s="724">
        <v>51117047</v>
      </c>
    </row>
    <row r="20" spans="1:9" x14ac:dyDescent="0.2">
      <c r="A20" s="719" t="s">
        <v>1115</v>
      </c>
      <c r="B20" s="720" t="s">
        <v>1116</v>
      </c>
      <c r="C20" s="721">
        <v>0</v>
      </c>
      <c r="D20" s="721">
        <v>0</v>
      </c>
      <c r="E20" s="721">
        <v>0</v>
      </c>
      <c r="F20" s="721">
        <v>0</v>
      </c>
      <c r="G20" s="721">
        <v>0</v>
      </c>
      <c r="H20" s="721">
        <v>0</v>
      </c>
      <c r="I20" s="721">
        <v>44386540</v>
      </c>
    </row>
    <row r="21" spans="1:9" x14ac:dyDescent="0.2">
      <c r="A21" s="719" t="s">
        <v>1117</v>
      </c>
      <c r="B21" s="720" t="s">
        <v>1118</v>
      </c>
      <c r="C21" s="721">
        <v>0</v>
      </c>
      <c r="D21" s="721">
        <v>0</v>
      </c>
      <c r="E21" s="721">
        <v>0</v>
      </c>
      <c r="F21" s="721">
        <v>0</v>
      </c>
      <c r="G21" s="721">
        <v>0</v>
      </c>
      <c r="H21" s="721">
        <v>0</v>
      </c>
      <c r="I21" s="721">
        <v>1262750</v>
      </c>
    </row>
    <row r="22" spans="1:9" x14ac:dyDescent="0.2">
      <c r="A22" s="719" t="s">
        <v>1119</v>
      </c>
      <c r="B22" s="720" t="s">
        <v>1120</v>
      </c>
      <c r="C22" s="721">
        <v>0</v>
      </c>
      <c r="D22" s="721">
        <v>0</v>
      </c>
      <c r="E22" s="721">
        <v>0</v>
      </c>
      <c r="F22" s="721">
        <v>0</v>
      </c>
      <c r="G22" s="721">
        <v>0</v>
      </c>
      <c r="H22" s="721">
        <v>0</v>
      </c>
      <c r="I22" s="721">
        <v>2493663</v>
      </c>
    </row>
    <row r="23" spans="1:9" x14ac:dyDescent="0.2">
      <c r="A23" s="719" t="s">
        <v>1121</v>
      </c>
      <c r="B23" s="720" t="s">
        <v>1122</v>
      </c>
      <c r="C23" s="721">
        <v>0</v>
      </c>
      <c r="D23" s="721">
        <v>0</v>
      </c>
      <c r="E23" s="721">
        <v>0</v>
      </c>
      <c r="F23" s="721">
        <v>0</v>
      </c>
      <c r="G23" s="721">
        <v>0</v>
      </c>
      <c r="H23" s="721">
        <v>0</v>
      </c>
      <c r="I23" s="721">
        <v>150094</v>
      </c>
    </row>
    <row r="24" spans="1:9" ht="38.25" x14ac:dyDescent="0.2">
      <c r="A24" s="719" t="s">
        <v>1123</v>
      </c>
      <c r="B24" s="720" t="s">
        <v>1124</v>
      </c>
      <c r="C24" s="721">
        <v>0</v>
      </c>
      <c r="D24" s="721">
        <v>0</v>
      </c>
      <c r="E24" s="721">
        <v>0</v>
      </c>
      <c r="F24" s="721">
        <v>0</v>
      </c>
      <c r="G24" s="721">
        <v>0</v>
      </c>
      <c r="H24" s="721">
        <v>0</v>
      </c>
      <c r="I24" s="721">
        <v>583000</v>
      </c>
    </row>
    <row r="25" spans="1:9" ht="25.5" x14ac:dyDescent="0.2">
      <c r="A25" s="719" t="s">
        <v>1125</v>
      </c>
      <c r="B25" s="720" t="s">
        <v>1126</v>
      </c>
      <c r="C25" s="721">
        <v>0</v>
      </c>
      <c r="D25" s="721">
        <v>0</v>
      </c>
      <c r="E25" s="721">
        <v>0</v>
      </c>
      <c r="F25" s="721">
        <v>0</v>
      </c>
      <c r="G25" s="721">
        <v>0</v>
      </c>
      <c r="H25" s="721">
        <v>0</v>
      </c>
      <c r="I25" s="721">
        <v>2241000</v>
      </c>
    </row>
    <row r="26" spans="1:9" x14ac:dyDescent="0.2">
      <c r="A26" s="719" t="s">
        <v>1127</v>
      </c>
      <c r="B26" s="720" t="s">
        <v>1128</v>
      </c>
      <c r="C26" s="721">
        <v>1549000</v>
      </c>
      <c r="D26" s="721">
        <v>1123608</v>
      </c>
      <c r="E26" s="721">
        <v>0</v>
      </c>
      <c r="F26" s="721">
        <v>1064447</v>
      </c>
      <c r="G26" s="721">
        <v>0</v>
      </c>
      <c r="H26" s="721">
        <v>0</v>
      </c>
      <c r="I26" s="721">
        <v>1023067</v>
      </c>
    </row>
    <row r="27" spans="1:9" x14ac:dyDescent="0.2">
      <c r="A27" s="719" t="s">
        <v>1129</v>
      </c>
      <c r="B27" s="720" t="s">
        <v>1130</v>
      </c>
      <c r="C27" s="721">
        <v>44951556</v>
      </c>
      <c r="D27" s="721">
        <v>53028046</v>
      </c>
      <c r="E27" s="721">
        <v>0</v>
      </c>
      <c r="F27" s="721">
        <v>46966563</v>
      </c>
      <c r="G27" s="721">
        <v>0</v>
      </c>
      <c r="H27" s="721">
        <v>0</v>
      </c>
      <c r="I27" s="721">
        <v>46858094</v>
      </c>
    </row>
    <row r="28" spans="1:9" x14ac:dyDescent="0.2">
      <c r="A28" s="719" t="s">
        <v>1131</v>
      </c>
      <c r="B28" s="720" t="s">
        <v>1132</v>
      </c>
      <c r="C28" s="721">
        <v>46500556</v>
      </c>
      <c r="D28" s="721">
        <v>54151654</v>
      </c>
      <c r="E28" s="721">
        <v>0</v>
      </c>
      <c r="F28" s="721">
        <v>48031010</v>
      </c>
      <c r="G28" s="721">
        <v>0</v>
      </c>
      <c r="H28" s="721">
        <v>0</v>
      </c>
      <c r="I28" s="721">
        <v>47881161</v>
      </c>
    </row>
    <row r="29" spans="1:9" ht="25.5" x14ac:dyDescent="0.2">
      <c r="A29" s="719" t="s">
        <v>1133</v>
      </c>
      <c r="B29" s="720" t="s">
        <v>1134</v>
      </c>
      <c r="C29" s="721">
        <v>5231400</v>
      </c>
      <c r="D29" s="721">
        <v>4492946</v>
      </c>
      <c r="E29" s="721">
        <v>0</v>
      </c>
      <c r="F29" s="721">
        <v>4150259</v>
      </c>
      <c r="G29" s="721">
        <v>0</v>
      </c>
      <c r="H29" s="721">
        <v>0</v>
      </c>
      <c r="I29" s="721">
        <v>4115059</v>
      </c>
    </row>
    <row r="30" spans="1:9" x14ac:dyDescent="0.2">
      <c r="A30" s="719" t="s">
        <v>1135</v>
      </c>
      <c r="B30" s="720" t="s">
        <v>1136</v>
      </c>
      <c r="C30" s="721">
        <v>1396000</v>
      </c>
      <c r="D30" s="721">
        <v>1498863</v>
      </c>
      <c r="E30" s="721">
        <v>0</v>
      </c>
      <c r="F30" s="721">
        <v>1456704</v>
      </c>
      <c r="G30" s="721">
        <v>0</v>
      </c>
      <c r="H30" s="721">
        <v>0</v>
      </c>
      <c r="I30" s="721">
        <v>1417316</v>
      </c>
    </row>
    <row r="31" spans="1:9" x14ac:dyDescent="0.2">
      <c r="A31" s="719" t="s">
        <v>1137</v>
      </c>
      <c r="B31" s="720" t="s">
        <v>1138</v>
      </c>
      <c r="C31" s="721">
        <v>6627400</v>
      </c>
      <c r="D31" s="721">
        <v>5991809</v>
      </c>
      <c r="E31" s="721">
        <v>0</v>
      </c>
      <c r="F31" s="721">
        <v>5606963</v>
      </c>
      <c r="G31" s="721">
        <v>0</v>
      </c>
      <c r="H31" s="721">
        <v>0</v>
      </c>
      <c r="I31" s="721">
        <v>5532375</v>
      </c>
    </row>
    <row r="32" spans="1:9" x14ac:dyDescent="0.2">
      <c r="A32" s="719" t="s">
        <v>1139</v>
      </c>
      <c r="B32" s="720" t="s">
        <v>1140</v>
      </c>
      <c r="C32" s="721">
        <v>21739000</v>
      </c>
      <c r="D32" s="721">
        <v>23411496</v>
      </c>
      <c r="E32" s="721">
        <v>0</v>
      </c>
      <c r="F32" s="721">
        <v>22874051</v>
      </c>
      <c r="G32" s="721">
        <v>48146113</v>
      </c>
      <c r="H32" s="721">
        <v>0</v>
      </c>
      <c r="I32" s="721">
        <v>22874051</v>
      </c>
    </row>
    <row r="33" spans="1:9" x14ac:dyDescent="0.2">
      <c r="A33" s="719" t="s">
        <v>1141</v>
      </c>
      <c r="B33" s="720" t="s">
        <v>1142</v>
      </c>
      <c r="C33" s="721">
        <v>8762900</v>
      </c>
      <c r="D33" s="721">
        <v>9006443</v>
      </c>
      <c r="E33" s="721">
        <v>0</v>
      </c>
      <c r="F33" s="721">
        <v>8410800</v>
      </c>
      <c r="G33" s="721">
        <v>0</v>
      </c>
      <c r="H33" s="721">
        <v>0</v>
      </c>
      <c r="I33" s="721">
        <v>8410800</v>
      </c>
    </row>
    <row r="34" spans="1:9" x14ac:dyDescent="0.2">
      <c r="A34" s="719" t="s">
        <v>1143</v>
      </c>
      <c r="B34" s="720" t="s">
        <v>1144</v>
      </c>
      <c r="C34" s="721">
        <v>1624813</v>
      </c>
      <c r="D34" s="721">
        <v>1963698</v>
      </c>
      <c r="E34" s="721">
        <v>0</v>
      </c>
      <c r="F34" s="721">
        <v>1476510</v>
      </c>
      <c r="G34" s="721">
        <v>0</v>
      </c>
      <c r="H34" s="721">
        <v>0</v>
      </c>
      <c r="I34" s="721">
        <v>1476510</v>
      </c>
    </row>
    <row r="35" spans="1:9" x14ac:dyDescent="0.2">
      <c r="A35" s="719" t="s">
        <v>1145</v>
      </c>
      <c r="B35" s="720" t="s">
        <v>1146</v>
      </c>
      <c r="C35" s="721">
        <v>10790000</v>
      </c>
      <c r="D35" s="721">
        <v>11174273</v>
      </c>
      <c r="E35" s="721">
        <v>0</v>
      </c>
      <c r="F35" s="721">
        <v>11102366</v>
      </c>
      <c r="G35" s="721">
        <v>280000</v>
      </c>
      <c r="H35" s="721">
        <v>0</v>
      </c>
      <c r="I35" s="721">
        <v>11102366</v>
      </c>
    </row>
    <row r="36" spans="1:9" x14ac:dyDescent="0.2">
      <c r="A36" s="719" t="s">
        <v>1147</v>
      </c>
      <c r="B36" s="720" t="s">
        <v>1148</v>
      </c>
      <c r="C36" s="721">
        <v>2815000</v>
      </c>
      <c r="D36" s="721">
        <v>2680838</v>
      </c>
      <c r="E36" s="721">
        <v>0</v>
      </c>
      <c r="F36" s="721">
        <v>2636468</v>
      </c>
      <c r="G36" s="721">
        <v>0</v>
      </c>
      <c r="H36" s="721">
        <v>0</v>
      </c>
      <c r="I36" s="721">
        <v>2636468</v>
      </c>
    </row>
    <row r="37" spans="1:9" x14ac:dyDescent="0.2">
      <c r="A37" s="719" t="s">
        <v>1149</v>
      </c>
      <c r="B37" s="720" t="s">
        <v>1150</v>
      </c>
      <c r="C37" s="721">
        <v>0</v>
      </c>
      <c r="D37" s="721">
        <v>0</v>
      </c>
      <c r="E37" s="721">
        <v>0</v>
      </c>
      <c r="F37" s="721">
        <v>0</v>
      </c>
      <c r="G37" s="721">
        <v>0</v>
      </c>
      <c r="H37" s="721">
        <v>0</v>
      </c>
      <c r="I37" s="721">
        <v>1914746</v>
      </c>
    </row>
    <row r="38" spans="1:9" ht="25.5" x14ac:dyDescent="0.2">
      <c r="A38" s="719" t="s">
        <v>1151</v>
      </c>
      <c r="B38" s="720" t="s">
        <v>1152</v>
      </c>
      <c r="C38" s="721">
        <v>200912105</v>
      </c>
      <c r="D38" s="721">
        <v>198697078</v>
      </c>
      <c r="E38" s="721">
        <v>414800</v>
      </c>
      <c r="F38" s="721">
        <v>172309903</v>
      </c>
      <c r="G38" s="721">
        <v>0</v>
      </c>
      <c r="H38" s="721">
        <v>0</v>
      </c>
      <c r="I38" s="721">
        <v>169753078</v>
      </c>
    </row>
    <row r="39" spans="1:9" x14ac:dyDescent="0.2">
      <c r="A39" s="719" t="s">
        <v>1153</v>
      </c>
      <c r="B39" s="720" t="s">
        <v>1154</v>
      </c>
      <c r="C39" s="721">
        <v>39684276</v>
      </c>
      <c r="D39" s="721">
        <v>48094111</v>
      </c>
      <c r="E39" s="721">
        <v>35000</v>
      </c>
      <c r="F39" s="721">
        <v>38609018</v>
      </c>
      <c r="G39" s="721">
        <v>1299250</v>
      </c>
      <c r="H39" s="721">
        <v>0</v>
      </c>
      <c r="I39" s="721">
        <v>38070328</v>
      </c>
    </row>
    <row r="40" spans="1:9" x14ac:dyDescent="0.2">
      <c r="A40" s="719" t="s">
        <v>1155</v>
      </c>
      <c r="B40" s="720" t="s">
        <v>1156</v>
      </c>
      <c r="C40" s="721">
        <v>0</v>
      </c>
      <c r="D40" s="721">
        <v>0</v>
      </c>
      <c r="E40" s="721">
        <v>0</v>
      </c>
      <c r="F40" s="721">
        <v>0</v>
      </c>
      <c r="G40" s="721">
        <v>0</v>
      </c>
      <c r="H40" s="721">
        <v>0</v>
      </c>
      <c r="I40" s="721">
        <v>1755441</v>
      </c>
    </row>
    <row r="41" spans="1:9" ht="25.5" x14ac:dyDescent="0.2">
      <c r="A41" s="719" t="s">
        <v>1157</v>
      </c>
      <c r="B41" s="720" t="s">
        <v>1158</v>
      </c>
      <c r="C41" s="721">
        <v>286328094</v>
      </c>
      <c r="D41" s="721">
        <v>295027937</v>
      </c>
      <c r="E41" s="721">
        <v>449800</v>
      </c>
      <c r="F41" s="721">
        <v>257419116</v>
      </c>
      <c r="G41" s="721">
        <v>49725363</v>
      </c>
      <c r="H41" s="721">
        <v>0</v>
      </c>
      <c r="I41" s="721">
        <v>254323601</v>
      </c>
    </row>
    <row r="42" spans="1:9" x14ac:dyDescent="0.2">
      <c r="A42" s="719" t="s">
        <v>1159</v>
      </c>
      <c r="B42" s="720" t="s">
        <v>1160</v>
      </c>
      <c r="C42" s="721">
        <v>1375000</v>
      </c>
      <c r="D42" s="721">
        <v>1122169</v>
      </c>
      <c r="E42" s="721">
        <v>0</v>
      </c>
      <c r="F42" s="721">
        <v>1055692</v>
      </c>
      <c r="G42" s="721">
        <v>0</v>
      </c>
      <c r="H42" s="721">
        <v>0</v>
      </c>
      <c r="I42" s="721">
        <v>1055692</v>
      </c>
    </row>
    <row r="43" spans="1:9" x14ac:dyDescent="0.2">
      <c r="A43" s="719" t="s">
        <v>1161</v>
      </c>
      <c r="B43" s="720" t="s">
        <v>1162</v>
      </c>
      <c r="C43" s="721">
        <v>425000</v>
      </c>
      <c r="D43" s="721">
        <v>390000</v>
      </c>
      <c r="E43" s="721">
        <v>0</v>
      </c>
      <c r="F43" s="721">
        <v>366300</v>
      </c>
      <c r="G43" s="721">
        <v>0</v>
      </c>
      <c r="H43" s="721">
        <v>0</v>
      </c>
      <c r="I43" s="721">
        <v>366300</v>
      </c>
    </row>
    <row r="44" spans="1:9" ht="25.5" x14ac:dyDescent="0.2">
      <c r="A44" s="719" t="s">
        <v>1163</v>
      </c>
      <c r="B44" s="720" t="s">
        <v>1164</v>
      </c>
      <c r="C44" s="721">
        <v>1800000</v>
      </c>
      <c r="D44" s="721">
        <v>1512169</v>
      </c>
      <c r="E44" s="721">
        <v>0</v>
      </c>
      <c r="F44" s="721">
        <v>1421992</v>
      </c>
      <c r="G44" s="721">
        <v>0</v>
      </c>
      <c r="H44" s="721">
        <v>0</v>
      </c>
      <c r="I44" s="721">
        <v>1421992</v>
      </c>
    </row>
    <row r="45" spans="1:9" ht="25.5" x14ac:dyDescent="0.2">
      <c r="A45" s="719" t="s">
        <v>1165</v>
      </c>
      <c r="B45" s="720" t="s">
        <v>1166</v>
      </c>
      <c r="C45" s="721">
        <v>87165691</v>
      </c>
      <c r="D45" s="721">
        <v>82289479</v>
      </c>
      <c r="E45" s="721">
        <v>76950</v>
      </c>
      <c r="F45" s="721">
        <v>69824992</v>
      </c>
      <c r="G45" s="721">
        <v>12696848</v>
      </c>
      <c r="H45" s="721">
        <v>0</v>
      </c>
      <c r="I45" s="721">
        <v>69581988</v>
      </c>
    </row>
    <row r="46" spans="1:9" x14ac:dyDescent="0.2">
      <c r="A46" s="719" t="s">
        <v>1167</v>
      </c>
      <c r="B46" s="720" t="s">
        <v>1168</v>
      </c>
      <c r="C46" s="721">
        <v>4967800</v>
      </c>
      <c r="D46" s="721">
        <v>60579386</v>
      </c>
      <c r="E46" s="721">
        <v>0</v>
      </c>
      <c r="F46" s="721">
        <v>52627085</v>
      </c>
      <c r="G46" s="721">
        <v>0</v>
      </c>
      <c r="H46" s="721">
        <v>0</v>
      </c>
      <c r="I46" s="721">
        <v>52627085</v>
      </c>
    </row>
    <row r="47" spans="1:9" x14ac:dyDescent="0.2">
      <c r="A47" s="719" t="s">
        <v>1169</v>
      </c>
      <c r="B47" s="720" t="s">
        <v>1170</v>
      </c>
      <c r="C47" s="721">
        <v>1943764</v>
      </c>
      <c r="D47" s="721">
        <v>1000122</v>
      </c>
      <c r="E47" s="721">
        <v>0</v>
      </c>
      <c r="F47" s="721">
        <v>1000122</v>
      </c>
      <c r="G47" s="721">
        <v>0</v>
      </c>
      <c r="H47" s="721">
        <v>0</v>
      </c>
      <c r="I47" s="721">
        <v>1000122</v>
      </c>
    </row>
    <row r="48" spans="1:9" ht="25.5" x14ac:dyDescent="0.2">
      <c r="A48" s="719" t="s">
        <v>1171</v>
      </c>
      <c r="B48" s="720" t="s">
        <v>1172</v>
      </c>
      <c r="C48" s="721">
        <v>0</v>
      </c>
      <c r="D48" s="721">
        <v>72</v>
      </c>
      <c r="E48" s="721">
        <v>0</v>
      </c>
      <c r="F48" s="721">
        <v>72</v>
      </c>
      <c r="G48" s="721">
        <v>0</v>
      </c>
      <c r="H48" s="721">
        <v>0</v>
      </c>
      <c r="I48" s="721">
        <v>72</v>
      </c>
    </row>
    <row r="49" spans="1:9" ht="25.5" x14ac:dyDescent="0.2">
      <c r="A49" s="719" t="s">
        <v>1173</v>
      </c>
      <c r="B49" s="720" t="s">
        <v>1174</v>
      </c>
      <c r="C49" s="721">
        <v>0</v>
      </c>
      <c r="D49" s="721">
        <v>0</v>
      </c>
      <c r="E49" s="721">
        <v>0</v>
      </c>
      <c r="F49" s="721">
        <v>0</v>
      </c>
      <c r="G49" s="721">
        <v>0</v>
      </c>
      <c r="H49" s="721">
        <v>0</v>
      </c>
      <c r="I49" s="721">
        <v>72</v>
      </c>
    </row>
    <row r="50" spans="1:9" x14ac:dyDescent="0.2">
      <c r="A50" s="719" t="s">
        <v>1175</v>
      </c>
      <c r="B50" s="720" t="s">
        <v>1176</v>
      </c>
      <c r="C50" s="721">
        <v>1267164</v>
      </c>
      <c r="D50" s="721">
        <v>1513950</v>
      </c>
      <c r="E50" s="721">
        <v>0</v>
      </c>
      <c r="F50" s="721">
        <v>1479626</v>
      </c>
      <c r="G50" s="721">
        <v>0</v>
      </c>
      <c r="H50" s="721">
        <v>0</v>
      </c>
      <c r="I50" s="721">
        <v>1479626</v>
      </c>
    </row>
    <row r="51" spans="1:9" ht="25.5" x14ac:dyDescent="0.2">
      <c r="A51" s="719" t="s">
        <v>1177</v>
      </c>
      <c r="B51" s="720" t="s">
        <v>1178</v>
      </c>
      <c r="C51" s="721">
        <v>95344419</v>
      </c>
      <c r="D51" s="721">
        <v>145383009</v>
      </c>
      <c r="E51" s="721">
        <v>76950</v>
      </c>
      <c r="F51" s="721">
        <v>124931897</v>
      </c>
      <c r="G51" s="721">
        <v>12696848</v>
      </c>
      <c r="H51" s="721">
        <v>0</v>
      </c>
      <c r="I51" s="721">
        <v>124688893</v>
      </c>
    </row>
    <row r="52" spans="1:9" x14ac:dyDescent="0.2">
      <c r="A52" s="722" t="s">
        <v>1179</v>
      </c>
      <c r="B52" s="723" t="s">
        <v>1180</v>
      </c>
      <c r="C52" s="724">
        <v>436600469</v>
      </c>
      <c r="D52" s="724">
        <v>502066578</v>
      </c>
      <c r="E52" s="724">
        <v>526750</v>
      </c>
      <c r="F52" s="724">
        <v>437410978</v>
      </c>
      <c r="G52" s="724">
        <v>62422211</v>
      </c>
      <c r="H52" s="724">
        <v>0</v>
      </c>
      <c r="I52" s="724">
        <v>433848022</v>
      </c>
    </row>
    <row r="53" spans="1:9" x14ac:dyDescent="0.2">
      <c r="A53" s="719" t="s">
        <v>1181</v>
      </c>
      <c r="B53" s="720" t="s">
        <v>1182</v>
      </c>
      <c r="C53" s="721">
        <v>0</v>
      </c>
      <c r="D53" s="721">
        <v>284000</v>
      </c>
      <c r="E53" s="721">
        <v>0</v>
      </c>
      <c r="F53" s="721">
        <v>284000</v>
      </c>
      <c r="G53" s="721">
        <v>0</v>
      </c>
      <c r="H53" s="721">
        <v>0</v>
      </c>
      <c r="I53" s="721">
        <v>284000</v>
      </c>
    </row>
    <row r="54" spans="1:9" ht="25.5" x14ac:dyDescent="0.2">
      <c r="A54" s="719" t="s">
        <v>1183</v>
      </c>
      <c r="B54" s="720" t="s">
        <v>1184</v>
      </c>
      <c r="C54" s="721">
        <v>0</v>
      </c>
      <c r="D54" s="721">
        <v>0</v>
      </c>
      <c r="E54" s="721">
        <v>0</v>
      </c>
      <c r="F54" s="721">
        <v>0</v>
      </c>
      <c r="G54" s="721">
        <v>0</v>
      </c>
      <c r="H54" s="721">
        <v>0</v>
      </c>
      <c r="I54" s="721">
        <v>284000</v>
      </c>
    </row>
    <row r="55" spans="1:9" ht="25.5" x14ac:dyDescent="0.2">
      <c r="A55" s="719" t="s">
        <v>1185</v>
      </c>
      <c r="B55" s="720" t="s">
        <v>1186</v>
      </c>
      <c r="C55" s="721">
        <v>7500000</v>
      </c>
      <c r="D55" s="721">
        <v>7050420</v>
      </c>
      <c r="E55" s="721">
        <v>0</v>
      </c>
      <c r="F55" s="721">
        <v>4443306</v>
      </c>
      <c r="G55" s="721">
        <v>204664</v>
      </c>
      <c r="H55" s="721">
        <v>0</v>
      </c>
      <c r="I55" s="721">
        <v>4443306</v>
      </c>
    </row>
    <row r="56" spans="1:9" ht="25.5" x14ac:dyDescent="0.2">
      <c r="A56" s="719" t="s">
        <v>1187</v>
      </c>
      <c r="B56" s="720" t="s">
        <v>1188</v>
      </c>
      <c r="C56" s="721">
        <v>0</v>
      </c>
      <c r="D56" s="721">
        <v>0</v>
      </c>
      <c r="E56" s="721">
        <v>0</v>
      </c>
      <c r="F56" s="721">
        <v>0</v>
      </c>
      <c r="G56" s="721">
        <v>0</v>
      </c>
      <c r="H56" s="721">
        <v>0</v>
      </c>
      <c r="I56" s="721">
        <v>520000</v>
      </c>
    </row>
    <row r="57" spans="1:9" ht="25.5" x14ac:dyDescent="0.2">
      <c r="A57" s="719" t="s">
        <v>1189</v>
      </c>
      <c r="B57" s="720" t="s">
        <v>1190</v>
      </c>
      <c r="C57" s="721">
        <v>0</v>
      </c>
      <c r="D57" s="721">
        <v>0</v>
      </c>
      <c r="E57" s="721">
        <v>0</v>
      </c>
      <c r="F57" s="721">
        <v>0</v>
      </c>
      <c r="G57" s="721">
        <v>0</v>
      </c>
      <c r="H57" s="721">
        <v>0</v>
      </c>
      <c r="I57" s="721">
        <v>3923306</v>
      </c>
    </row>
    <row r="58" spans="1:9" ht="25.5" x14ac:dyDescent="0.2">
      <c r="A58" s="722" t="s">
        <v>1191</v>
      </c>
      <c r="B58" s="723" t="s">
        <v>1192</v>
      </c>
      <c r="C58" s="724">
        <v>7500000</v>
      </c>
      <c r="D58" s="724">
        <v>7334420</v>
      </c>
      <c r="E58" s="724">
        <v>0</v>
      </c>
      <c r="F58" s="724">
        <v>4727306</v>
      </c>
      <c r="G58" s="724">
        <v>204664</v>
      </c>
      <c r="H58" s="724">
        <v>0</v>
      </c>
      <c r="I58" s="724">
        <v>4727306</v>
      </c>
    </row>
    <row r="59" spans="1:9" x14ac:dyDescent="0.2">
      <c r="A59" s="719" t="s">
        <v>1193</v>
      </c>
      <c r="B59" s="720" t="s">
        <v>1194</v>
      </c>
      <c r="C59" s="721">
        <v>0</v>
      </c>
      <c r="D59" s="721">
        <v>10627629</v>
      </c>
      <c r="E59" s="721">
        <v>0</v>
      </c>
      <c r="F59" s="721">
        <v>10627629</v>
      </c>
      <c r="G59" s="721">
        <v>0</v>
      </c>
      <c r="H59" s="721">
        <v>0</v>
      </c>
      <c r="I59" s="721">
        <v>10627629</v>
      </c>
    </row>
    <row r="60" spans="1:9" ht="25.5" x14ac:dyDescent="0.2">
      <c r="A60" s="719" t="s">
        <v>1195</v>
      </c>
      <c r="B60" s="720" t="s">
        <v>1196</v>
      </c>
      <c r="C60" s="721">
        <v>0</v>
      </c>
      <c r="D60" s="721">
        <v>10627629</v>
      </c>
      <c r="E60" s="721">
        <v>0</v>
      </c>
      <c r="F60" s="721">
        <v>10627629</v>
      </c>
      <c r="G60" s="721">
        <v>0</v>
      </c>
      <c r="H60" s="721">
        <v>0</v>
      </c>
      <c r="I60" s="721">
        <v>10627629</v>
      </c>
    </row>
    <row r="61" spans="1:9" ht="38.25" x14ac:dyDescent="0.2">
      <c r="A61" s="719" t="s">
        <v>1197</v>
      </c>
      <c r="B61" s="720" t="s">
        <v>1198</v>
      </c>
      <c r="C61" s="721">
        <v>52516408</v>
      </c>
      <c r="D61" s="721">
        <v>61611684</v>
      </c>
      <c r="E61" s="721">
        <v>0</v>
      </c>
      <c r="F61" s="721">
        <v>61461684</v>
      </c>
      <c r="G61" s="721">
        <v>0</v>
      </c>
      <c r="H61" s="721">
        <v>0</v>
      </c>
      <c r="I61" s="721">
        <v>61461684</v>
      </c>
    </row>
    <row r="62" spans="1:9" x14ac:dyDescent="0.2">
      <c r="A62" s="719" t="s">
        <v>1199</v>
      </c>
      <c r="B62" s="720" t="s">
        <v>1200</v>
      </c>
      <c r="C62" s="721">
        <v>0</v>
      </c>
      <c r="D62" s="721">
        <v>0</v>
      </c>
      <c r="E62" s="721">
        <v>0</v>
      </c>
      <c r="F62" s="721">
        <v>0</v>
      </c>
      <c r="G62" s="721">
        <v>0</v>
      </c>
      <c r="H62" s="721">
        <v>0</v>
      </c>
      <c r="I62" s="721">
        <v>300000</v>
      </c>
    </row>
    <row r="63" spans="1:9" ht="25.5" x14ac:dyDescent="0.2">
      <c r="A63" s="719" t="s">
        <v>1201</v>
      </c>
      <c r="B63" s="720" t="s">
        <v>1202</v>
      </c>
      <c r="C63" s="721">
        <v>0</v>
      </c>
      <c r="D63" s="721">
        <v>0</v>
      </c>
      <c r="E63" s="721">
        <v>0</v>
      </c>
      <c r="F63" s="721">
        <v>0</v>
      </c>
      <c r="G63" s="721">
        <v>0</v>
      </c>
      <c r="H63" s="721">
        <v>0</v>
      </c>
      <c r="I63" s="721">
        <v>20064985</v>
      </c>
    </row>
    <row r="64" spans="1:9" ht="25.5" x14ac:dyDescent="0.2">
      <c r="A64" s="719" t="s">
        <v>1203</v>
      </c>
      <c r="B64" s="720" t="s">
        <v>1204</v>
      </c>
      <c r="C64" s="721">
        <v>0</v>
      </c>
      <c r="D64" s="721">
        <v>0</v>
      </c>
      <c r="E64" s="721">
        <v>0</v>
      </c>
      <c r="F64" s="721">
        <v>0</v>
      </c>
      <c r="G64" s="721">
        <v>0</v>
      </c>
      <c r="H64" s="721">
        <v>0</v>
      </c>
      <c r="I64" s="721">
        <v>41096699</v>
      </c>
    </row>
    <row r="65" spans="1:9" ht="38.25" x14ac:dyDescent="0.2">
      <c r="A65" s="719" t="s">
        <v>1205</v>
      </c>
      <c r="B65" s="720" t="s">
        <v>1206</v>
      </c>
      <c r="C65" s="721">
        <v>1000000</v>
      </c>
      <c r="D65" s="721">
        <v>1000000</v>
      </c>
      <c r="E65" s="721">
        <v>0</v>
      </c>
      <c r="F65" s="721">
        <v>342000</v>
      </c>
      <c r="G65" s="721">
        <v>0</v>
      </c>
      <c r="H65" s="721">
        <v>0</v>
      </c>
      <c r="I65" s="721">
        <v>342000</v>
      </c>
    </row>
    <row r="66" spans="1:9" x14ac:dyDescent="0.2">
      <c r="A66" s="719" t="s">
        <v>1207</v>
      </c>
      <c r="B66" s="720" t="s">
        <v>1208</v>
      </c>
      <c r="C66" s="721">
        <v>0</v>
      </c>
      <c r="D66" s="721">
        <v>0</v>
      </c>
      <c r="E66" s="721">
        <v>0</v>
      </c>
      <c r="F66" s="721">
        <v>0</v>
      </c>
      <c r="G66" s="721">
        <v>0</v>
      </c>
      <c r="H66" s="721">
        <v>0</v>
      </c>
      <c r="I66" s="721">
        <v>342000</v>
      </c>
    </row>
    <row r="67" spans="1:9" ht="25.5" x14ac:dyDescent="0.2">
      <c r="A67" s="719" t="s">
        <v>1209</v>
      </c>
      <c r="B67" s="720" t="s">
        <v>1210</v>
      </c>
      <c r="C67" s="721">
        <v>78000000</v>
      </c>
      <c r="D67" s="721">
        <v>99258236</v>
      </c>
      <c r="E67" s="721">
        <v>0</v>
      </c>
      <c r="F67" s="721">
        <v>96258236</v>
      </c>
      <c r="G67" s="721">
        <v>0</v>
      </c>
      <c r="H67" s="721">
        <v>0</v>
      </c>
      <c r="I67" s="721">
        <v>96258236</v>
      </c>
    </row>
    <row r="68" spans="1:9" x14ac:dyDescent="0.2">
      <c r="A68" s="719" t="s">
        <v>1211</v>
      </c>
      <c r="B68" s="720" t="s">
        <v>1212</v>
      </c>
      <c r="C68" s="721">
        <v>0</v>
      </c>
      <c r="D68" s="721">
        <v>0</v>
      </c>
      <c r="E68" s="721">
        <v>0</v>
      </c>
      <c r="F68" s="721">
        <v>0</v>
      </c>
      <c r="G68" s="721">
        <v>0</v>
      </c>
      <c r="H68" s="721">
        <v>0</v>
      </c>
      <c r="I68" s="721">
        <v>88137807</v>
      </c>
    </row>
    <row r="69" spans="1:9" x14ac:dyDescent="0.2">
      <c r="A69" s="719" t="s">
        <v>1213</v>
      </c>
      <c r="B69" s="720" t="s">
        <v>1214</v>
      </c>
      <c r="C69" s="721">
        <v>0</v>
      </c>
      <c r="D69" s="721">
        <v>0</v>
      </c>
      <c r="E69" s="721">
        <v>0</v>
      </c>
      <c r="F69" s="721">
        <v>0</v>
      </c>
      <c r="G69" s="721">
        <v>0</v>
      </c>
      <c r="H69" s="721">
        <v>0</v>
      </c>
      <c r="I69" s="721">
        <v>10429</v>
      </c>
    </row>
    <row r="70" spans="1:9" ht="25.5" x14ac:dyDescent="0.2">
      <c r="A70" s="719" t="s">
        <v>1215</v>
      </c>
      <c r="B70" s="720" t="s">
        <v>1216</v>
      </c>
      <c r="C70" s="721">
        <v>0</v>
      </c>
      <c r="D70" s="721">
        <v>0</v>
      </c>
      <c r="E70" s="721">
        <v>0</v>
      </c>
      <c r="F70" s="721">
        <v>0</v>
      </c>
      <c r="G70" s="721">
        <v>0</v>
      </c>
      <c r="H70" s="721">
        <v>0</v>
      </c>
      <c r="I70" s="721">
        <v>8110000</v>
      </c>
    </row>
    <row r="71" spans="1:9" x14ac:dyDescent="0.2">
      <c r="A71" s="719" t="s">
        <v>1217</v>
      </c>
      <c r="B71" s="720" t="s">
        <v>1218</v>
      </c>
      <c r="C71" s="721">
        <v>255712508</v>
      </c>
      <c r="D71" s="721">
        <v>538653284</v>
      </c>
      <c r="E71" s="721">
        <v>0</v>
      </c>
      <c r="F71" s="721">
        <v>0</v>
      </c>
      <c r="G71" s="721">
        <v>0</v>
      </c>
      <c r="H71" s="721">
        <v>0</v>
      </c>
      <c r="I71" s="721">
        <v>0</v>
      </c>
    </row>
    <row r="72" spans="1:9" ht="38.25" x14ac:dyDescent="0.2">
      <c r="A72" s="722" t="s">
        <v>1219</v>
      </c>
      <c r="B72" s="723" t="s">
        <v>1220</v>
      </c>
      <c r="C72" s="724">
        <v>387228916</v>
      </c>
      <c r="D72" s="724">
        <v>711150833</v>
      </c>
      <c r="E72" s="724">
        <v>0</v>
      </c>
      <c r="F72" s="724">
        <v>168689549</v>
      </c>
      <c r="G72" s="724">
        <v>0</v>
      </c>
      <c r="H72" s="724">
        <v>0</v>
      </c>
      <c r="I72" s="724">
        <v>168689549</v>
      </c>
    </row>
    <row r="73" spans="1:9" x14ac:dyDescent="0.2">
      <c r="A73" s="719" t="s">
        <v>1221</v>
      </c>
      <c r="B73" s="720" t="s">
        <v>1222</v>
      </c>
      <c r="C73" s="721">
        <v>0</v>
      </c>
      <c r="D73" s="721">
        <v>1433733</v>
      </c>
      <c r="E73" s="721">
        <v>0</v>
      </c>
      <c r="F73" s="721">
        <v>1183733</v>
      </c>
      <c r="G73" s="721">
        <v>0</v>
      </c>
      <c r="H73" s="721">
        <v>0</v>
      </c>
      <c r="I73" s="721">
        <v>1183733</v>
      </c>
    </row>
    <row r="74" spans="1:9" ht="25.5" x14ac:dyDescent="0.2">
      <c r="A74" s="719" t="s">
        <v>1223</v>
      </c>
      <c r="B74" s="720" t="s">
        <v>1224</v>
      </c>
      <c r="C74" s="721">
        <v>588593106</v>
      </c>
      <c r="D74" s="721">
        <v>569382888</v>
      </c>
      <c r="E74" s="721">
        <v>0</v>
      </c>
      <c r="F74" s="721">
        <v>265137247</v>
      </c>
      <c r="G74" s="721">
        <v>0</v>
      </c>
      <c r="H74" s="721">
        <v>0</v>
      </c>
      <c r="I74" s="721">
        <v>259631917</v>
      </c>
    </row>
    <row r="75" spans="1:9" ht="25.5" x14ac:dyDescent="0.2">
      <c r="A75" s="719" t="s">
        <v>1225</v>
      </c>
      <c r="B75" s="720" t="s">
        <v>1226</v>
      </c>
      <c r="C75" s="721">
        <v>438000</v>
      </c>
      <c r="D75" s="721">
        <v>1116244</v>
      </c>
      <c r="E75" s="721">
        <v>0</v>
      </c>
      <c r="F75" s="721">
        <v>1116244</v>
      </c>
      <c r="G75" s="721">
        <v>0</v>
      </c>
      <c r="H75" s="721">
        <v>0</v>
      </c>
      <c r="I75" s="721">
        <v>1116244</v>
      </c>
    </row>
    <row r="76" spans="1:9" ht="25.5" x14ac:dyDescent="0.2">
      <c r="A76" s="719" t="s">
        <v>1227</v>
      </c>
      <c r="B76" s="720" t="s">
        <v>1228</v>
      </c>
      <c r="C76" s="721">
        <v>3441605</v>
      </c>
      <c r="D76" s="721">
        <v>5963538</v>
      </c>
      <c r="E76" s="721">
        <v>270000</v>
      </c>
      <c r="F76" s="721">
        <v>5693538</v>
      </c>
      <c r="G76" s="721">
        <v>0</v>
      </c>
      <c r="H76" s="721">
        <v>0</v>
      </c>
      <c r="I76" s="721">
        <v>5693538</v>
      </c>
    </row>
    <row r="77" spans="1:9" ht="25.5" x14ac:dyDescent="0.2">
      <c r="A77" s="719" t="s">
        <v>1229</v>
      </c>
      <c r="B77" s="720" t="s">
        <v>1230</v>
      </c>
      <c r="C77" s="721">
        <v>159473582</v>
      </c>
      <c r="D77" s="721">
        <v>166718627</v>
      </c>
      <c r="E77" s="721">
        <v>72900</v>
      </c>
      <c r="F77" s="721">
        <v>20618533</v>
      </c>
      <c r="G77" s="721">
        <v>0</v>
      </c>
      <c r="H77" s="721">
        <v>0</v>
      </c>
      <c r="I77" s="721">
        <v>19132094</v>
      </c>
    </row>
    <row r="78" spans="1:9" x14ac:dyDescent="0.2">
      <c r="A78" s="722" t="s">
        <v>1231</v>
      </c>
      <c r="B78" s="723" t="s">
        <v>1232</v>
      </c>
      <c r="C78" s="724">
        <v>751946293</v>
      </c>
      <c r="D78" s="724">
        <v>744615030</v>
      </c>
      <c r="E78" s="724">
        <v>342900</v>
      </c>
      <c r="F78" s="724">
        <v>293749295</v>
      </c>
      <c r="G78" s="724">
        <v>0</v>
      </c>
      <c r="H78" s="724">
        <v>0</v>
      </c>
      <c r="I78" s="724">
        <v>286757526</v>
      </c>
    </row>
    <row r="79" spans="1:9" x14ac:dyDescent="0.2">
      <c r="A79" s="719" t="s">
        <v>1233</v>
      </c>
      <c r="B79" s="720" t="s">
        <v>1234</v>
      </c>
      <c r="C79" s="721">
        <v>25861500</v>
      </c>
      <c r="D79" s="721">
        <v>32631275</v>
      </c>
      <c r="E79" s="721">
        <v>0</v>
      </c>
      <c r="F79" s="721">
        <v>5936647</v>
      </c>
      <c r="G79" s="721">
        <v>0</v>
      </c>
      <c r="H79" s="721">
        <v>0</v>
      </c>
      <c r="I79" s="721">
        <v>5936647</v>
      </c>
    </row>
    <row r="80" spans="1:9" x14ac:dyDescent="0.2">
      <c r="A80" s="719" t="s">
        <v>1235</v>
      </c>
      <c r="B80" s="720" t="s">
        <v>1236</v>
      </c>
      <c r="C80" s="721">
        <v>0</v>
      </c>
      <c r="D80" s="721">
        <v>1824609</v>
      </c>
      <c r="E80" s="721">
        <v>0</v>
      </c>
      <c r="F80" s="721">
        <v>1554415</v>
      </c>
      <c r="G80" s="721">
        <v>0</v>
      </c>
      <c r="H80" s="721">
        <v>0</v>
      </c>
      <c r="I80" s="721">
        <v>1554415</v>
      </c>
    </row>
    <row r="81" spans="1:9" ht="25.5" x14ac:dyDescent="0.2">
      <c r="A81" s="719" t="s">
        <v>1237</v>
      </c>
      <c r="B81" s="720" t="s">
        <v>1238</v>
      </c>
      <c r="C81" s="721">
        <v>6982176</v>
      </c>
      <c r="D81" s="721">
        <v>9302659</v>
      </c>
      <c r="E81" s="721">
        <v>0</v>
      </c>
      <c r="F81" s="721">
        <v>2000985</v>
      </c>
      <c r="G81" s="721">
        <v>0</v>
      </c>
      <c r="H81" s="721">
        <v>0</v>
      </c>
      <c r="I81" s="721">
        <v>2000985</v>
      </c>
    </row>
    <row r="82" spans="1:9" x14ac:dyDescent="0.2">
      <c r="A82" s="722" t="s">
        <v>1239</v>
      </c>
      <c r="B82" s="723" t="s">
        <v>1240</v>
      </c>
      <c r="C82" s="724">
        <v>32843676</v>
      </c>
      <c r="D82" s="724">
        <v>43758543</v>
      </c>
      <c r="E82" s="724">
        <v>0</v>
      </c>
      <c r="F82" s="724">
        <v>9492047</v>
      </c>
      <c r="G82" s="724">
        <v>0</v>
      </c>
      <c r="H82" s="724">
        <v>0</v>
      </c>
      <c r="I82" s="724">
        <v>9492047</v>
      </c>
    </row>
    <row r="83" spans="1:9" ht="25.5" x14ac:dyDescent="0.2">
      <c r="A83" s="719" t="s">
        <v>1241</v>
      </c>
      <c r="B83" s="720" t="s">
        <v>1242</v>
      </c>
      <c r="C83" s="721">
        <v>0</v>
      </c>
      <c r="D83" s="721">
        <v>21531976</v>
      </c>
      <c r="E83" s="721">
        <v>0</v>
      </c>
      <c r="F83" s="721">
        <v>0</v>
      </c>
      <c r="G83" s="721">
        <v>0</v>
      </c>
      <c r="H83" s="721">
        <v>0</v>
      </c>
      <c r="I83" s="721">
        <v>0</v>
      </c>
    </row>
    <row r="84" spans="1:9" ht="38.25" x14ac:dyDescent="0.2">
      <c r="A84" s="719" t="s">
        <v>1243</v>
      </c>
      <c r="B84" s="720" t="s">
        <v>1244</v>
      </c>
      <c r="C84" s="721">
        <v>1000000</v>
      </c>
      <c r="D84" s="721">
        <v>1600000</v>
      </c>
      <c r="E84" s="721">
        <v>0</v>
      </c>
      <c r="F84" s="721">
        <v>1100000</v>
      </c>
      <c r="G84" s="721">
        <v>0</v>
      </c>
      <c r="H84" s="721">
        <v>0</v>
      </c>
      <c r="I84" s="721">
        <v>1100000</v>
      </c>
    </row>
    <row r="85" spans="1:9" x14ac:dyDescent="0.2">
      <c r="A85" s="719" t="s">
        <v>1245</v>
      </c>
      <c r="B85" s="720" t="s">
        <v>1246</v>
      </c>
      <c r="C85" s="721">
        <v>0</v>
      </c>
      <c r="D85" s="721">
        <v>0</v>
      </c>
      <c r="E85" s="721">
        <v>0</v>
      </c>
      <c r="F85" s="721">
        <v>0</v>
      </c>
      <c r="G85" s="721">
        <v>0</v>
      </c>
      <c r="H85" s="721">
        <v>0</v>
      </c>
      <c r="I85" s="721">
        <v>1100000</v>
      </c>
    </row>
    <row r="86" spans="1:9" x14ac:dyDescent="0.2">
      <c r="A86" s="719" t="s">
        <v>1247</v>
      </c>
      <c r="B86" s="720" t="s">
        <v>1248</v>
      </c>
      <c r="C86" s="721">
        <v>0</v>
      </c>
      <c r="D86" s="721">
        <v>600000</v>
      </c>
      <c r="E86" s="721">
        <v>0</v>
      </c>
      <c r="F86" s="721">
        <v>500000</v>
      </c>
      <c r="G86" s="721">
        <v>0</v>
      </c>
      <c r="H86" s="721">
        <v>0</v>
      </c>
      <c r="I86" s="721">
        <v>500000</v>
      </c>
    </row>
    <row r="87" spans="1:9" ht="25.5" x14ac:dyDescent="0.2">
      <c r="A87" s="719" t="s">
        <v>1249</v>
      </c>
      <c r="B87" s="720" t="s">
        <v>1250</v>
      </c>
      <c r="C87" s="721">
        <v>14420000</v>
      </c>
      <c r="D87" s="721">
        <v>13640747</v>
      </c>
      <c r="E87" s="721">
        <v>0</v>
      </c>
      <c r="F87" s="721">
        <v>13640747</v>
      </c>
      <c r="G87" s="721">
        <v>0</v>
      </c>
      <c r="H87" s="721">
        <v>0</v>
      </c>
      <c r="I87" s="721">
        <v>3640747</v>
      </c>
    </row>
    <row r="88" spans="1:9" ht="25.5" x14ac:dyDescent="0.2">
      <c r="A88" s="719" t="s">
        <v>1251</v>
      </c>
      <c r="B88" s="720" t="s">
        <v>1252</v>
      </c>
      <c r="C88" s="721">
        <v>0</v>
      </c>
      <c r="D88" s="721">
        <v>0</v>
      </c>
      <c r="E88" s="721">
        <v>0</v>
      </c>
      <c r="F88" s="721">
        <v>0</v>
      </c>
      <c r="G88" s="721">
        <v>0</v>
      </c>
      <c r="H88" s="721">
        <v>0</v>
      </c>
      <c r="I88" s="721">
        <v>3640747</v>
      </c>
    </row>
    <row r="89" spans="1:9" ht="38.25" x14ac:dyDescent="0.2">
      <c r="A89" s="722" t="s">
        <v>1253</v>
      </c>
      <c r="B89" s="723" t="s">
        <v>1254</v>
      </c>
      <c r="C89" s="724">
        <v>15420000</v>
      </c>
      <c r="D89" s="724">
        <v>37372723</v>
      </c>
      <c r="E89" s="724">
        <v>0</v>
      </c>
      <c r="F89" s="724">
        <v>15240747</v>
      </c>
      <c r="G89" s="724">
        <v>0</v>
      </c>
      <c r="H89" s="724">
        <v>0</v>
      </c>
      <c r="I89" s="724">
        <v>5240747</v>
      </c>
    </row>
    <row r="90" spans="1:9" ht="25.5" x14ac:dyDescent="0.2">
      <c r="A90" s="722" t="s">
        <v>1255</v>
      </c>
      <c r="B90" s="723" t="s">
        <v>1256</v>
      </c>
      <c r="C90" s="724">
        <v>1919049075</v>
      </c>
      <c r="D90" s="724">
        <v>2351128675</v>
      </c>
      <c r="E90" s="724">
        <v>869650</v>
      </c>
      <c r="F90" s="724">
        <v>1230273465</v>
      </c>
      <c r="G90" s="724">
        <v>706222317</v>
      </c>
      <c r="H90" s="724">
        <v>0</v>
      </c>
      <c r="I90" s="724">
        <v>1209718740</v>
      </c>
    </row>
  </sheetData>
  <mergeCells count="1">
    <mergeCell ref="A1:I1"/>
  </mergeCells>
  <pageMargins left="0.74803149606299213" right="0.74803149606299213" top="0.98425196850393704" bottom="0.98425196850393704" header="0.51181102362204722" footer="0.51181102362204722"/>
  <pageSetup paperSize="9" scale="51" fitToHeight="0" orientation="portrait" horizontalDpi="300" verticalDpi="300" r:id="rId1"/>
  <headerFooter alignWithMargins="0">
    <oddHeader xml:space="preserve">&amp;C11/2019. (V.17.) számú költségvetési rendelethez
Zalakaros Város Önkormányzata 2018.évi költségvetési kiadásai 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view="pageLayout" topLeftCell="A55" zoomScaleNormal="100" workbookViewId="0">
      <selection activeCell="A5" sqref="A5:G71"/>
    </sheetView>
  </sheetViews>
  <sheetFormatPr defaultRowHeight="12.75" x14ac:dyDescent="0.2"/>
  <cols>
    <col min="1" max="1" width="8.140625" customWidth="1"/>
    <col min="2" max="2" width="41" customWidth="1"/>
    <col min="3" max="7" width="32.85546875" customWidth="1"/>
    <col min="257" max="257" width="8.140625" customWidth="1"/>
    <col min="258" max="258" width="41" customWidth="1"/>
    <col min="259" max="263" width="32.85546875" customWidth="1"/>
    <col min="513" max="513" width="8.140625" customWidth="1"/>
    <col min="514" max="514" width="41" customWidth="1"/>
    <col min="515" max="519" width="32.85546875" customWidth="1"/>
    <col min="769" max="769" width="8.140625" customWidth="1"/>
    <col min="770" max="770" width="41" customWidth="1"/>
    <col min="771" max="775" width="32.85546875" customWidth="1"/>
    <col min="1025" max="1025" width="8.140625" customWidth="1"/>
    <col min="1026" max="1026" width="41" customWidth="1"/>
    <col min="1027" max="1031" width="32.85546875" customWidth="1"/>
    <col min="1281" max="1281" width="8.140625" customWidth="1"/>
    <col min="1282" max="1282" width="41" customWidth="1"/>
    <col min="1283" max="1287" width="32.85546875" customWidth="1"/>
    <col min="1537" max="1537" width="8.140625" customWidth="1"/>
    <col min="1538" max="1538" width="41" customWidth="1"/>
    <col min="1539" max="1543" width="32.85546875" customWidth="1"/>
    <col min="1793" max="1793" width="8.140625" customWidth="1"/>
    <col min="1794" max="1794" width="41" customWidth="1"/>
    <col min="1795" max="1799" width="32.85546875" customWidth="1"/>
    <col min="2049" max="2049" width="8.140625" customWidth="1"/>
    <col min="2050" max="2050" width="41" customWidth="1"/>
    <col min="2051" max="2055" width="32.85546875" customWidth="1"/>
    <col min="2305" max="2305" width="8.140625" customWidth="1"/>
    <col min="2306" max="2306" width="41" customWidth="1"/>
    <col min="2307" max="2311" width="32.85546875" customWidth="1"/>
    <col min="2561" max="2561" width="8.140625" customWidth="1"/>
    <col min="2562" max="2562" width="41" customWidth="1"/>
    <col min="2563" max="2567" width="32.85546875" customWidth="1"/>
    <col min="2817" max="2817" width="8.140625" customWidth="1"/>
    <col min="2818" max="2818" width="41" customWidth="1"/>
    <col min="2819" max="2823" width="32.85546875" customWidth="1"/>
    <col min="3073" max="3073" width="8.140625" customWidth="1"/>
    <col min="3074" max="3074" width="41" customWidth="1"/>
    <col min="3075" max="3079" width="32.85546875" customWidth="1"/>
    <col min="3329" max="3329" width="8.140625" customWidth="1"/>
    <col min="3330" max="3330" width="41" customWidth="1"/>
    <col min="3331" max="3335" width="32.85546875" customWidth="1"/>
    <col min="3585" max="3585" width="8.140625" customWidth="1"/>
    <col min="3586" max="3586" width="41" customWidth="1"/>
    <col min="3587" max="3591" width="32.85546875" customWidth="1"/>
    <col min="3841" max="3841" width="8.140625" customWidth="1"/>
    <col min="3842" max="3842" width="41" customWidth="1"/>
    <col min="3843" max="3847" width="32.85546875" customWidth="1"/>
    <col min="4097" max="4097" width="8.140625" customWidth="1"/>
    <col min="4098" max="4098" width="41" customWidth="1"/>
    <col min="4099" max="4103" width="32.85546875" customWidth="1"/>
    <col min="4353" max="4353" width="8.140625" customWidth="1"/>
    <col min="4354" max="4354" width="41" customWidth="1"/>
    <col min="4355" max="4359" width="32.85546875" customWidth="1"/>
    <col min="4609" max="4609" width="8.140625" customWidth="1"/>
    <col min="4610" max="4610" width="41" customWidth="1"/>
    <col min="4611" max="4615" width="32.85546875" customWidth="1"/>
    <col min="4865" max="4865" width="8.140625" customWidth="1"/>
    <col min="4866" max="4866" width="41" customWidth="1"/>
    <col min="4867" max="4871" width="32.85546875" customWidth="1"/>
    <col min="5121" max="5121" width="8.140625" customWidth="1"/>
    <col min="5122" max="5122" width="41" customWidth="1"/>
    <col min="5123" max="5127" width="32.85546875" customWidth="1"/>
    <col min="5377" max="5377" width="8.140625" customWidth="1"/>
    <col min="5378" max="5378" width="41" customWidth="1"/>
    <col min="5379" max="5383" width="32.85546875" customWidth="1"/>
    <col min="5633" max="5633" width="8.140625" customWidth="1"/>
    <col min="5634" max="5634" width="41" customWidth="1"/>
    <col min="5635" max="5639" width="32.85546875" customWidth="1"/>
    <col min="5889" max="5889" width="8.140625" customWidth="1"/>
    <col min="5890" max="5890" width="41" customWidth="1"/>
    <col min="5891" max="5895" width="32.85546875" customWidth="1"/>
    <col min="6145" max="6145" width="8.140625" customWidth="1"/>
    <col min="6146" max="6146" width="41" customWidth="1"/>
    <col min="6147" max="6151" width="32.85546875" customWidth="1"/>
    <col min="6401" max="6401" width="8.140625" customWidth="1"/>
    <col min="6402" max="6402" width="41" customWidth="1"/>
    <col min="6403" max="6407" width="32.85546875" customWidth="1"/>
    <col min="6657" max="6657" width="8.140625" customWidth="1"/>
    <col min="6658" max="6658" width="41" customWidth="1"/>
    <col min="6659" max="6663" width="32.85546875" customWidth="1"/>
    <col min="6913" max="6913" width="8.140625" customWidth="1"/>
    <col min="6914" max="6914" width="41" customWidth="1"/>
    <col min="6915" max="6919" width="32.85546875" customWidth="1"/>
    <col min="7169" max="7169" width="8.140625" customWidth="1"/>
    <col min="7170" max="7170" width="41" customWidth="1"/>
    <col min="7171" max="7175" width="32.85546875" customWidth="1"/>
    <col min="7425" max="7425" width="8.140625" customWidth="1"/>
    <col min="7426" max="7426" width="41" customWidth="1"/>
    <col min="7427" max="7431" width="32.85546875" customWidth="1"/>
    <col min="7681" max="7681" width="8.140625" customWidth="1"/>
    <col min="7682" max="7682" width="41" customWidth="1"/>
    <col min="7683" max="7687" width="32.85546875" customWidth="1"/>
    <col min="7937" max="7937" width="8.140625" customWidth="1"/>
    <col min="7938" max="7938" width="41" customWidth="1"/>
    <col min="7939" max="7943" width="32.85546875" customWidth="1"/>
    <col min="8193" max="8193" width="8.140625" customWidth="1"/>
    <col min="8194" max="8194" width="41" customWidth="1"/>
    <col min="8195" max="8199" width="32.85546875" customWidth="1"/>
    <col min="8449" max="8449" width="8.140625" customWidth="1"/>
    <col min="8450" max="8450" width="41" customWidth="1"/>
    <col min="8451" max="8455" width="32.85546875" customWidth="1"/>
    <col min="8705" max="8705" width="8.140625" customWidth="1"/>
    <col min="8706" max="8706" width="41" customWidth="1"/>
    <col min="8707" max="8711" width="32.85546875" customWidth="1"/>
    <col min="8961" max="8961" width="8.140625" customWidth="1"/>
    <col min="8962" max="8962" width="41" customWidth="1"/>
    <col min="8963" max="8967" width="32.85546875" customWidth="1"/>
    <col min="9217" max="9217" width="8.140625" customWidth="1"/>
    <col min="9218" max="9218" width="41" customWidth="1"/>
    <col min="9219" max="9223" width="32.85546875" customWidth="1"/>
    <col min="9473" max="9473" width="8.140625" customWidth="1"/>
    <col min="9474" max="9474" width="41" customWidth="1"/>
    <col min="9475" max="9479" width="32.85546875" customWidth="1"/>
    <col min="9729" max="9729" width="8.140625" customWidth="1"/>
    <col min="9730" max="9730" width="41" customWidth="1"/>
    <col min="9731" max="9735" width="32.85546875" customWidth="1"/>
    <col min="9985" max="9985" width="8.140625" customWidth="1"/>
    <col min="9986" max="9986" width="41" customWidth="1"/>
    <col min="9987" max="9991" width="32.85546875" customWidth="1"/>
    <col min="10241" max="10241" width="8.140625" customWidth="1"/>
    <col min="10242" max="10242" width="41" customWidth="1"/>
    <col min="10243" max="10247" width="32.85546875" customWidth="1"/>
    <col min="10497" max="10497" width="8.140625" customWidth="1"/>
    <col min="10498" max="10498" width="41" customWidth="1"/>
    <col min="10499" max="10503" width="32.85546875" customWidth="1"/>
    <col min="10753" max="10753" width="8.140625" customWidth="1"/>
    <col min="10754" max="10754" width="41" customWidth="1"/>
    <col min="10755" max="10759" width="32.85546875" customWidth="1"/>
    <col min="11009" max="11009" width="8.140625" customWidth="1"/>
    <col min="11010" max="11010" width="41" customWidth="1"/>
    <col min="11011" max="11015" width="32.85546875" customWidth="1"/>
    <col min="11265" max="11265" width="8.140625" customWidth="1"/>
    <col min="11266" max="11266" width="41" customWidth="1"/>
    <col min="11267" max="11271" width="32.85546875" customWidth="1"/>
    <col min="11521" max="11521" width="8.140625" customWidth="1"/>
    <col min="11522" max="11522" width="41" customWidth="1"/>
    <col min="11523" max="11527" width="32.85546875" customWidth="1"/>
    <col min="11777" max="11777" width="8.140625" customWidth="1"/>
    <col min="11778" max="11778" width="41" customWidth="1"/>
    <col min="11779" max="11783" width="32.85546875" customWidth="1"/>
    <col min="12033" max="12033" width="8.140625" customWidth="1"/>
    <col min="12034" max="12034" width="41" customWidth="1"/>
    <col min="12035" max="12039" width="32.85546875" customWidth="1"/>
    <col min="12289" max="12289" width="8.140625" customWidth="1"/>
    <col min="12290" max="12290" width="41" customWidth="1"/>
    <col min="12291" max="12295" width="32.85546875" customWidth="1"/>
    <col min="12545" max="12545" width="8.140625" customWidth="1"/>
    <col min="12546" max="12546" width="41" customWidth="1"/>
    <col min="12547" max="12551" width="32.85546875" customWidth="1"/>
    <col min="12801" max="12801" width="8.140625" customWidth="1"/>
    <col min="12802" max="12802" width="41" customWidth="1"/>
    <col min="12803" max="12807" width="32.85546875" customWidth="1"/>
    <col min="13057" max="13057" width="8.140625" customWidth="1"/>
    <col min="13058" max="13058" width="41" customWidth="1"/>
    <col min="13059" max="13063" width="32.85546875" customWidth="1"/>
    <col min="13313" max="13313" width="8.140625" customWidth="1"/>
    <col min="13314" max="13314" width="41" customWidth="1"/>
    <col min="13315" max="13319" width="32.85546875" customWidth="1"/>
    <col min="13569" max="13569" width="8.140625" customWidth="1"/>
    <col min="13570" max="13570" width="41" customWidth="1"/>
    <col min="13571" max="13575" width="32.85546875" customWidth="1"/>
    <col min="13825" max="13825" width="8.140625" customWidth="1"/>
    <col min="13826" max="13826" width="41" customWidth="1"/>
    <col min="13827" max="13831" width="32.85546875" customWidth="1"/>
    <col min="14081" max="14081" width="8.140625" customWidth="1"/>
    <col min="14082" max="14082" width="41" customWidth="1"/>
    <col min="14083" max="14087" width="32.85546875" customWidth="1"/>
    <col min="14337" max="14337" width="8.140625" customWidth="1"/>
    <col min="14338" max="14338" width="41" customWidth="1"/>
    <col min="14339" max="14343" width="32.85546875" customWidth="1"/>
    <col min="14593" max="14593" width="8.140625" customWidth="1"/>
    <col min="14594" max="14594" width="41" customWidth="1"/>
    <col min="14595" max="14599" width="32.85546875" customWidth="1"/>
    <col min="14849" max="14849" width="8.140625" customWidth="1"/>
    <col min="14850" max="14850" width="41" customWidth="1"/>
    <col min="14851" max="14855" width="32.85546875" customWidth="1"/>
    <col min="15105" max="15105" width="8.140625" customWidth="1"/>
    <col min="15106" max="15106" width="41" customWidth="1"/>
    <col min="15107" max="15111" width="32.85546875" customWidth="1"/>
    <col min="15361" max="15361" width="8.140625" customWidth="1"/>
    <col min="15362" max="15362" width="41" customWidth="1"/>
    <col min="15363" max="15367" width="32.85546875" customWidth="1"/>
    <col min="15617" max="15617" width="8.140625" customWidth="1"/>
    <col min="15618" max="15618" width="41" customWidth="1"/>
    <col min="15619" max="15623" width="32.85546875" customWidth="1"/>
    <col min="15873" max="15873" width="8.140625" customWidth="1"/>
    <col min="15874" max="15874" width="41" customWidth="1"/>
    <col min="15875" max="15879" width="32.85546875" customWidth="1"/>
    <col min="16129" max="16129" width="8.140625" customWidth="1"/>
    <col min="16130" max="16130" width="41" customWidth="1"/>
    <col min="16131" max="16135" width="32.85546875" customWidth="1"/>
  </cols>
  <sheetData>
    <row r="1" spans="1:9" s="707" customFormat="1" x14ac:dyDescent="0.2">
      <c r="A1" s="1052" t="s">
        <v>1933</v>
      </c>
      <c r="B1" s="1053"/>
      <c r="C1" s="1053"/>
      <c r="D1" s="1053"/>
      <c r="E1" s="1053"/>
      <c r="F1" s="1053"/>
      <c r="G1" s="1053"/>
      <c r="H1" s="1053"/>
      <c r="I1" s="1054"/>
    </row>
    <row r="2" spans="1:9" ht="15" x14ac:dyDescent="0.2">
      <c r="A2" s="1055"/>
      <c r="B2" s="1056"/>
      <c r="C2" s="1056"/>
      <c r="D2" s="1056"/>
      <c r="E2" s="1056"/>
      <c r="F2" s="1056"/>
      <c r="G2" s="1056"/>
    </row>
    <row r="3" spans="1:9" ht="30" x14ac:dyDescent="0.2">
      <c r="A3" s="713" t="s">
        <v>705</v>
      </c>
      <c r="B3" s="713" t="s">
        <v>15</v>
      </c>
      <c r="C3" s="713" t="s">
        <v>1078</v>
      </c>
      <c r="D3" s="713" t="s">
        <v>1079</v>
      </c>
      <c r="E3" s="713" t="s">
        <v>1257</v>
      </c>
      <c r="F3" s="713" t="s">
        <v>1258</v>
      </c>
      <c r="G3" s="713" t="s">
        <v>1084</v>
      </c>
    </row>
    <row r="4" spans="1:9" ht="15" x14ac:dyDescent="0.2">
      <c r="A4" s="712">
        <v>1</v>
      </c>
      <c r="B4" s="712">
        <v>2</v>
      </c>
      <c r="C4" s="712">
        <v>3</v>
      </c>
      <c r="D4" s="712">
        <v>4</v>
      </c>
      <c r="E4" s="712">
        <v>5</v>
      </c>
      <c r="F4" s="712">
        <v>6</v>
      </c>
      <c r="G4" s="712">
        <v>7</v>
      </c>
    </row>
    <row r="5" spans="1:9" ht="25.5" x14ac:dyDescent="0.2">
      <c r="A5" s="719" t="s">
        <v>1085</v>
      </c>
      <c r="B5" s="720" t="s">
        <v>1259</v>
      </c>
      <c r="C5" s="721">
        <v>252740697</v>
      </c>
      <c r="D5" s="721">
        <v>253044355</v>
      </c>
      <c r="E5" s="721">
        <v>253044355</v>
      </c>
      <c r="F5" s="721">
        <v>0</v>
      </c>
      <c r="G5" s="721">
        <v>253044355</v>
      </c>
    </row>
    <row r="6" spans="1:9" ht="25.5" x14ac:dyDescent="0.2">
      <c r="A6" s="719" t="s">
        <v>1087</v>
      </c>
      <c r="B6" s="720" t="s">
        <v>1260</v>
      </c>
      <c r="C6" s="721">
        <v>49337467</v>
      </c>
      <c r="D6" s="721">
        <v>49355984</v>
      </c>
      <c r="E6" s="721">
        <v>49355984</v>
      </c>
      <c r="F6" s="721">
        <v>0</v>
      </c>
      <c r="G6" s="721">
        <v>49355984</v>
      </c>
    </row>
    <row r="7" spans="1:9" ht="38.25" x14ac:dyDescent="0.2">
      <c r="A7" s="719" t="s">
        <v>1261</v>
      </c>
      <c r="B7" s="720" t="s">
        <v>1262</v>
      </c>
      <c r="C7" s="721">
        <v>64277576</v>
      </c>
      <c r="D7" s="721">
        <v>70162436</v>
      </c>
      <c r="E7" s="721">
        <v>70162436</v>
      </c>
      <c r="F7" s="721">
        <v>0</v>
      </c>
      <c r="G7" s="721">
        <v>70162436</v>
      </c>
    </row>
    <row r="8" spans="1:9" ht="25.5" x14ac:dyDescent="0.2">
      <c r="A8" s="719" t="s">
        <v>1089</v>
      </c>
      <c r="B8" s="720" t="s">
        <v>1263</v>
      </c>
      <c r="C8" s="721">
        <v>2974180</v>
      </c>
      <c r="D8" s="721">
        <v>3841925</v>
      </c>
      <c r="E8" s="721">
        <v>3841925</v>
      </c>
      <c r="F8" s="721">
        <v>0</v>
      </c>
      <c r="G8" s="721">
        <v>3841925</v>
      </c>
    </row>
    <row r="9" spans="1:9" ht="25.5" x14ac:dyDescent="0.2">
      <c r="A9" s="719" t="s">
        <v>1264</v>
      </c>
      <c r="B9" s="720" t="s">
        <v>1265</v>
      </c>
      <c r="C9" s="721">
        <v>0</v>
      </c>
      <c r="D9" s="721">
        <v>8505002</v>
      </c>
      <c r="E9" s="721">
        <v>8505002</v>
      </c>
      <c r="F9" s="721">
        <v>0</v>
      </c>
      <c r="G9" s="721">
        <v>8505002</v>
      </c>
    </row>
    <row r="10" spans="1:9" x14ac:dyDescent="0.2">
      <c r="A10" s="719" t="s">
        <v>1091</v>
      </c>
      <c r="B10" s="720" t="s">
        <v>1266</v>
      </c>
      <c r="C10" s="721">
        <v>0</v>
      </c>
      <c r="D10" s="721">
        <v>1102420</v>
      </c>
      <c r="E10" s="721">
        <v>1102420</v>
      </c>
      <c r="F10" s="721">
        <v>0</v>
      </c>
      <c r="G10" s="721">
        <v>1102420</v>
      </c>
    </row>
    <row r="11" spans="1:9" ht="25.5" x14ac:dyDescent="0.2">
      <c r="A11" s="719" t="s">
        <v>1093</v>
      </c>
      <c r="B11" s="720" t="s">
        <v>1267</v>
      </c>
      <c r="C11" s="721">
        <v>369329920</v>
      </c>
      <c r="D11" s="721">
        <v>386012122</v>
      </c>
      <c r="E11" s="721">
        <v>386012122</v>
      </c>
      <c r="F11" s="721">
        <v>0</v>
      </c>
      <c r="G11" s="721">
        <v>386012122</v>
      </c>
    </row>
    <row r="12" spans="1:9" x14ac:dyDescent="0.2">
      <c r="A12" s="719" t="s">
        <v>1268</v>
      </c>
      <c r="B12" s="720" t="s">
        <v>1269</v>
      </c>
      <c r="C12" s="721">
        <v>0</v>
      </c>
      <c r="D12" s="721">
        <v>10627629</v>
      </c>
      <c r="E12" s="721">
        <v>10627629</v>
      </c>
      <c r="F12" s="721">
        <v>0</v>
      </c>
      <c r="G12" s="721">
        <v>10627629</v>
      </c>
    </row>
    <row r="13" spans="1:9" ht="25.5" x14ac:dyDescent="0.2">
      <c r="A13" s="719" t="s">
        <v>1133</v>
      </c>
      <c r="B13" s="720" t="s">
        <v>1270</v>
      </c>
      <c r="C13" s="721">
        <v>74967225</v>
      </c>
      <c r="D13" s="721">
        <v>143288553</v>
      </c>
      <c r="E13" s="721">
        <v>140200547</v>
      </c>
      <c r="F13" s="721">
        <v>0</v>
      </c>
      <c r="G13" s="721">
        <v>140200547</v>
      </c>
    </row>
    <row r="14" spans="1:9" x14ac:dyDescent="0.2">
      <c r="A14" s="719" t="s">
        <v>1137</v>
      </c>
      <c r="B14" s="720" t="s">
        <v>1271</v>
      </c>
      <c r="C14" s="721">
        <v>0</v>
      </c>
      <c r="D14" s="721">
        <v>0</v>
      </c>
      <c r="E14" s="721">
        <v>0</v>
      </c>
      <c r="F14" s="721">
        <v>0</v>
      </c>
      <c r="G14" s="721">
        <v>284000</v>
      </c>
    </row>
    <row r="15" spans="1:9" ht="38.25" x14ac:dyDescent="0.2">
      <c r="A15" s="719" t="s">
        <v>1139</v>
      </c>
      <c r="B15" s="720" t="s">
        <v>1272</v>
      </c>
      <c r="C15" s="721">
        <v>0</v>
      </c>
      <c r="D15" s="721">
        <v>0</v>
      </c>
      <c r="E15" s="721">
        <v>0</v>
      </c>
      <c r="F15" s="721">
        <v>0</v>
      </c>
      <c r="G15" s="721">
        <v>87846090</v>
      </c>
    </row>
    <row r="16" spans="1:9" ht="25.5" x14ac:dyDescent="0.2">
      <c r="A16" s="719" t="s">
        <v>1141</v>
      </c>
      <c r="B16" s="720" t="s">
        <v>1273</v>
      </c>
      <c r="C16" s="721">
        <v>0</v>
      </c>
      <c r="D16" s="721">
        <v>0</v>
      </c>
      <c r="E16" s="721">
        <v>0</v>
      </c>
      <c r="F16" s="721">
        <v>0</v>
      </c>
      <c r="G16" s="721">
        <v>7635828</v>
      </c>
    </row>
    <row r="17" spans="1:7" ht="25.5" x14ac:dyDescent="0.2">
      <c r="A17" s="719" t="s">
        <v>1143</v>
      </c>
      <c r="B17" s="720" t="s">
        <v>1274</v>
      </c>
      <c r="C17" s="721">
        <v>0</v>
      </c>
      <c r="D17" s="721">
        <v>0</v>
      </c>
      <c r="E17" s="721">
        <v>0</v>
      </c>
      <c r="F17" s="721">
        <v>0</v>
      </c>
      <c r="G17" s="721">
        <v>10097600</v>
      </c>
    </row>
    <row r="18" spans="1:7" x14ac:dyDescent="0.2">
      <c r="A18" s="719" t="s">
        <v>1275</v>
      </c>
      <c r="B18" s="720" t="s">
        <v>1276</v>
      </c>
      <c r="C18" s="721">
        <v>0</v>
      </c>
      <c r="D18" s="721">
        <v>0</v>
      </c>
      <c r="E18" s="721">
        <v>0</v>
      </c>
      <c r="F18" s="721">
        <v>0</v>
      </c>
      <c r="G18" s="721">
        <v>10343744</v>
      </c>
    </row>
    <row r="19" spans="1:7" ht="25.5" x14ac:dyDescent="0.2">
      <c r="A19" s="719" t="s">
        <v>1145</v>
      </c>
      <c r="B19" s="720" t="s">
        <v>1277</v>
      </c>
      <c r="C19" s="721">
        <v>0</v>
      </c>
      <c r="D19" s="721">
        <v>0</v>
      </c>
      <c r="E19" s="721">
        <v>0</v>
      </c>
      <c r="F19" s="721">
        <v>0</v>
      </c>
      <c r="G19" s="721">
        <v>23993285</v>
      </c>
    </row>
    <row r="20" spans="1:7" ht="38.25" x14ac:dyDescent="0.2">
      <c r="A20" s="722" t="s">
        <v>1153</v>
      </c>
      <c r="B20" s="723" t="s">
        <v>1278</v>
      </c>
      <c r="C20" s="724">
        <v>444297145</v>
      </c>
      <c r="D20" s="724">
        <v>539928304</v>
      </c>
      <c r="E20" s="724">
        <v>536840298</v>
      </c>
      <c r="F20" s="724">
        <v>0</v>
      </c>
      <c r="G20" s="724">
        <v>536840298</v>
      </c>
    </row>
    <row r="21" spans="1:7" ht="25.5" x14ac:dyDescent="0.2">
      <c r="A21" s="719" t="s">
        <v>1155</v>
      </c>
      <c r="B21" s="720" t="s">
        <v>1279</v>
      </c>
      <c r="C21" s="721">
        <v>14258924</v>
      </c>
      <c r="D21" s="721">
        <v>14798239</v>
      </c>
      <c r="E21" s="721">
        <v>14798239</v>
      </c>
      <c r="F21" s="721">
        <v>0</v>
      </c>
      <c r="G21" s="721">
        <v>14798239</v>
      </c>
    </row>
    <row r="22" spans="1:7" ht="38.25" x14ac:dyDescent="0.2">
      <c r="A22" s="719" t="s">
        <v>1280</v>
      </c>
      <c r="B22" s="720" t="s">
        <v>1281</v>
      </c>
      <c r="C22" s="721">
        <v>575350208</v>
      </c>
      <c r="D22" s="721">
        <v>766983430</v>
      </c>
      <c r="E22" s="721">
        <v>646811149</v>
      </c>
      <c r="F22" s="721">
        <v>0</v>
      </c>
      <c r="G22" s="721">
        <v>646811149</v>
      </c>
    </row>
    <row r="23" spans="1:7" ht="38.25" x14ac:dyDescent="0.2">
      <c r="A23" s="719" t="s">
        <v>1282</v>
      </c>
      <c r="B23" s="720" t="s">
        <v>1283</v>
      </c>
      <c r="C23" s="721">
        <v>0</v>
      </c>
      <c r="D23" s="721">
        <v>0</v>
      </c>
      <c r="E23" s="721">
        <v>0</v>
      </c>
      <c r="F23" s="721">
        <v>0</v>
      </c>
      <c r="G23" s="721">
        <v>646811149</v>
      </c>
    </row>
    <row r="24" spans="1:7" ht="38.25" x14ac:dyDescent="0.2">
      <c r="A24" s="722" t="s">
        <v>1284</v>
      </c>
      <c r="B24" s="723" t="s">
        <v>1285</v>
      </c>
      <c r="C24" s="724">
        <v>589609132</v>
      </c>
      <c r="D24" s="724">
        <v>781781669</v>
      </c>
      <c r="E24" s="724">
        <v>661609388</v>
      </c>
      <c r="F24" s="724">
        <v>0</v>
      </c>
      <c r="G24" s="724">
        <v>661609388</v>
      </c>
    </row>
    <row r="25" spans="1:7" x14ac:dyDescent="0.2">
      <c r="A25" s="719" t="s">
        <v>1286</v>
      </c>
      <c r="B25" s="720" t="s">
        <v>1287</v>
      </c>
      <c r="C25" s="721">
        <v>54000000</v>
      </c>
      <c r="D25" s="721">
        <v>66013728</v>
      </c>
      <c r="E25" s="721">
        <v>70936642</v>
      </c>
      <c r="F25" s="721">
        <v>0</v>
      </c>
      <c r="G25" s="721">
        <v>66013728</v>
      </c>
    </row>
    <row r="26" spans="1:7" x14ac:dyDescent="0.2">
      <c r="A26" s="719" t="s">
        <v>1288</v>
      </c>
      <c r="B26" s="720" t="s">
        <v>1289</v>
      </c>
      <c r="C26" s="721">
        <v>0</v>
      </c>
      <c r="D26" s="721">
        <v>0</v>
      </c>
      <c r="E26" s="721">
        <v>0</v>
      </c>
      <c r="F26" s="721">
        <v>0</v>
      </c>
      <c r="G26" s="721">
        <v>58045388</v>
      </c>
    </row>
    <row r="27" spans="1:7" ht="25.5" x14ac:dyDescent="0.2">
      <c r="A27" s="719" t="s">
        <v>1290</v>
      </c>
      <c r="B27" s="720" t="s">
        <v>1291</v>
      </c>
      <c r="C27" s="721">
        <v>0</v>
      </c>
      <c r="D27" s="721">
        <v>0</v>
      </c>
      <c r="E27" s="721">
        <v>0</v>
      </c>
      <c r="F27" s="721">
        <v>0</v>
      </c>
      <c r="G27" s="721">
        <v>7968340</v>
      </c>
    </row>
    <row r="28" spans="1:7" ht="25.5" x14ac:dyDescent="0.2">
      <c r="A28" s="719" t="s">
        <v>1292</v>
      </c>
      <c r="B28" s="720" t="s">
        <v>1293</v>
      </c>
      <c r="C28" s="721">
        <v>170000000</v>
      </c>
      <c r="D28" s="721">
        <v>210238308</v>
      </c>
      <c r="E28" s="721">
        <v>218374099</v>
      </c>
      <c r="F28" s="721">
        <v>0</v>
      </c>
      <c r="G28" s="721">
        <v>210238308</v>
      </c>
    </row>
    <row r="29" spans="1:7" ht="38.25" x14ac:dyDescent="0.2">
      <c r="A29" s="719" t="s">
        <v>1193</v>
      </c>
      <c r="B29" s="720" t="s">
        <v>1294</v>
      </c>
      <c r="C29" s="721">
        <v>0</v>
      </c>
      <c r="D29" s="721">
        <v>0</v>
      </c>
      <c r="E29" s="721">
        <v>0</v>
      </c>
      <c r="F29" s="721">
        <v>0</v>
      </c>
      <c r="G29" s="721">
        <v>210238308</v>
      </c>
    </row>
    <row r="30" spans="1:7" x14ac:dyDescent="0.2">
      <c r="A30" s="719" t="s">
        <v>1295</v>
      </c>
      <c r="B30" s="720" t="s">
        <v>1296</v>
      </c>
      <c r="C30" s="721">
        <v>9000000</v>
      </c>
      <c r="D30" s="721">
        <v>11081029</v>
      </c>
      <c r="E30" s="721">
        <v>11743825</v>
      </c>
      <c r="F30" s="721">
        <v>0</v>
      </c>
      <c r="G30" s="721">
        <v>11081029</v>
      </c>
    </row>
    <row r="31" spans="1:7" ht="25.5" x14ac:dyDescent="0.2">
      <c r="A31" s="719" t="s">
        <v>1297</v>
      </c>
      <c r="B31" s="720" t="s">
        <v>1298</v>
      </c>
      <c r="C31" s="721">
        <v>0</v>
      </c>
      <c r="D31" s="721">
        <v>0</v>
      </c>
      <c r="E31" s="721">
        <v>0</v>
      </c>
      <c r="F31" s="721">
        <v>0</v>
      </c>
      <c r="G31" s="721">
        <v>11081029</v>
      </c>
    </row>
    <row r="32" spans="1:7" ht="25.5" x14ac:dyDescent="0.2">
      <c r="A32" s="719" t="s">
        <v>1199</v>
      </c>
      <c r="B32" s="720" t="s">
        <v>1299</v>
      </c>
      <c r="C32" s="721">
        <v>240000000</v>
      </c>
      <c r="D32" s="721">
        <v>273206415</v>
      </c>
      <c r="E32" s="721">
        <v>273206415</v>
      </c>
      <c r="F32" s="721">
        <v>0</v>
      </c>
      <c r="G32" s="721">
        <v>273206415</v>
      </c>
    </row>
    <row r="33" spans="1:7" ht="25.5" x14ac:dyDescent="0.2">
      <c r="A33" s="719" t="s">
        <v>1300</v>
      </c>
      <c r="B33" s="720" t="s">
        <v>1301</v>
      </c>
      <c r="C33" s="721">
        <v>0</v>
      </c>
      <c r="D33" s="721">
        <v>0</v>
      </c>
      <c r="E33" s="721">
        <v>0</v>
      </c>
      <c r="F33" s="721">
        <v>0</v>
      </c>
      <c r="G33" s="721">
        <v>273206415</v>
      </c>
    </row>
    <row r="34" spans="1:7" ht="25.5" x14ac:dyDescent="0.2">
      <c r="A34" s="719" t="s">
        <v>1302</v>
      </c>
      <c r="B34" s="720" t="s">
        <v>1303</v>
      </c>
      <c r="C34" s="721">
        <v>419000000</v>
      </c>
      <c r="D34" s="721">
        <v>494525752</v>
      </c>
      <c r="E34" s="721">
        <v>503324339</v>
      </c>
      <c r="F34" s="721">
        <v>0</v>
      </c>
      <c r="G34" s="721">
        <v>494525752</v>
      </c>
    </row>
    <row r="35" spans="1:7" ht="25.5" x14ac:dyDescent="0.2">
      <c r="A35" s="719" t="s">
        <v>1304</v>
      </c>
      <c r="B35" s="720" t="s">
        <v>1305</v>
      </c>
      <c r="C35" s="721">
        <v>500000</v>
      </c>
      <c r="D35" s="721">
        <v>1241049</v>
      </c>
      <c r="E35" s="721">
        <v>2355475</v>
      </c>
      <c r="F35" s="721">
        <v>0</v>
      </c>
      <c r="G35" s="721">
        <v>1241049</v>
      </c>
    </row>
    <row r="36" spans="1:7" x14ac:dyDescent="0.2">
      <c r="A36" s="719" t="s">
        <v>1306</v>
      </c>
      <c r="B36" s="720" t="s">
        <v>1307</v>
      </c>
      <c r="C36" s="721">
        <v>0</v>
      </c>
      <c r="D36" s="721">
        <v>0</v>
      </c>
      <c r="E36" s="721">
        <v>0</v>
      </c>
      <c r="F36" s="721">
        <v>0</v>
      </c>
      <c r="G36" s="721">
        <v>401128</v>
      </c>
    </row>
    <row r="37" spans="1:7" ht="51" x14ac:dyDescent="0.2">
      <c r="A37" s="719" t="s">
        <v>1211</v>
      </c>
      <c r="B37" s="720" t="s">
        <v>1308</v>
      </c>
      <c r="C37" s="721">
        <v>0</v>
      </c>
      <c r="D37" s="721">
        <v>0</v>
      </c>
      <c r="E37" s="721">
        <v>0</v>
      </c>
      <c r="F37" s="721">
        <v>0</v>
      </c>
      <c r="G37" s="721">
        <v>165000</v>
      </c>
    </row>
    <row r="38" spans="1:7" x14ac:dyDescent="0.2">
      <c r="A38" s="719" t="s">
        <v>1215</v>
      </c>
      <c r="B38" s="720" t="s">
        <v>1309</v>
      </c>
      <c r="C38" s="721">
        <v>0</v>
      </c>
      <c r="D38" s="721">
        <v>0</v>
      </c>
      <c r="E38" s="721">
        <v>0</v>
      </c>
      <c r="F38" s="721">
        <v>0</v>
      </c>
      <c r="G38" s="721">
        <v>674921</v>
      </c>
    </row>
    <row r="39" spans="1:7" ht="25.5" x14ac:dyDescent="0.2">
      <c r="A39" s="722" t="s">
        <v>1310</v>
      </c>
      <c r="B39" s="723" t="s">
        <v>1311</v>
      </c>
      <c r="C39" s="724">
        <v>473500000</v>
      </c>
      <c r="D39" s="724">
        <v>561780529</v>
      </c>
      <c r="E39" s="724">
        <v>576616456</v>
      </c>
      <c r="F39" s="724">
        <v>0</v>
      </c>
      <c r="G39" s="724">
        <v>561780529</v>
      </c>
    </row>
    <row r="40" spans="1:7" x14ac:dyDescent="0.2">
      <c r="A40" s="719" t="s">
        <v>1219</v>
      </c>
      <c r="B40" s="720" t="s">
        <v>1312</v>
      </c>
      <c r="C40" s="721">
        <v>51481620</v>
      </c>
      <c r="D40" s="721">
        <v>68422233</v>
      </c>
      <c r="E40" s="721">
        <v>68805948</v>
      </c>
      <c r="F40" s="721">
        <v>0</v>
      </c>
      <c r="G40" s="721">
        <v>68059407</v>
      </c>
    </row>
    <row r="41" spans="1:7" ht="25.5" x14ac:dyDescent="0.2">
      <c r="A41" s="719" t="s">
        <v>1221</v>
      </c>
      <c r="B41" s="720" t="s">
        <v>1313</v>
      </c>
      <c r="C41" s="721">
        <v>0</v>
      </c>
      <c r="D41" s="721">
        <v>0</v>
      </c>
      <c r="E41" s="721">
        <v>0</v>
      </c>
      <c r="F41" s="721">
        <v>0</v>
      </c>
      <c r="G41" s="721">
        <v>18955616</v>
      </c>
    </row>
    <row r="42" spans="1:7" ht="25.5" x14ac:dyDescent="0.2">
      <c r="A42" s="719" t="s">
        <v>1314</v>
      </c>
      <c r="B42" s="720" t="s">
        <v>1315</v>
      </c>
      <c r="C42" s="721">
        <v>6641000</v>
      </c>
      <c r="D42" s="721">
        <v>4157792</v>
      </c>
      <c r="E42" s="721">
        <v>4474005</v>
      </c>
      <c r="F42" s="721">
        <v>0</v>
      </c>
      <c r="G42" s="721">
        <v>4463657</v>
      </c>
    </row>
    <row r="43" spans="1:7" x14ac:dyDescent="0.2">
      <c r="A43" s="719" t="s">
        <v>1225</v>
      </c>
      <c r="B43" s="720" t="s">
        <v>1316</v>
      </c>
      <c r="C43" s="721">
        <v>0</v>
      </c>
      <c r="D43" s="721">
        <v>0</v>
      </c>
      <c r="E43" s="721">
        <v>0</v>
      </c>
      <c r="F43" s="721">
        <v>0</v>
      </c>
      <c r="G43" s="721">
        <v>2149787</v>
      </c>
    </row>
    <row r="44" spans="1:7" x14ac:dyDescent="0.2">
      <c r="A44" s="719" t="s">
        <v>1227</v>
      </c>
      <c r="B44" s="720" t="s">
        <v>1317</v>
      </c>
      <c r="C44" s="721">
        <v>30525669</v>
      </c>
      <c r="D44" s="721">
        <v>25979271</v>
      </c>
      <c r="E44" s="721">
        <v>11126430</v>
      </c>
      <c r="F44" s="721">
        <v>0</v>
      </c>
      <c r="G44" s="721">
        <v>11126430</v>
      </c>
    </row>
    <row r="45" spans="1:7" ht="25.5" x14ac:dyDescent="0.2">
      <c r="A45" s="719" t="s">
        <v>1318</v>
      </c>
      <c r="B45" s="720" t="s">
        <v>1319</v>
      </c>
      <c r="C45" s="721">
        <v>0</v>
      </c>
      <c r="D45" s="721">
        <v>0</v>
      </c>
      <c r="E45" s="721">
        <v>0</v>
      </c>
      <c r="F45" s="721">
        <v>0</v>
      </c>
      <c r="G45" s="721">
        <v>11038230</v>
      </c>
    </row>
    <row r="46" spans="1:7" ht="25.5" x14ac:dyDescent="0.2">
      <c r="A46" s="719" t="s">
        <v>1320</v>
      </c>
      <c r="B46" s="720" t="s">
        <v>1321</v>
      </c>
      <c r="C46" s="721">
        <v>0</v>
      </c>
      <c r="D46" s="721">
        <v>0</v>
      </c>
      <c r="E46" s="721">
        <v>0</v>
      </c>
      <c r="F46" s="721">
        <v>0</v>
      </c>
      <c r="G46" s="721">
        <v>88200</v>
      </c>
    </row>
    <row r="47" spans="1:7" x14ac:dyDescent="0.2">
      <c r="A47" s="719" t="s">
        <v>1235</v>
      </c>
      <c r="B47" s="720" t="s">
        <v>1322</v>
      </c>
      <c r="C47" s="721">
        <v>18483786</v>
      </c>
      <c r="D47" s="721">
        <v>18719538</v>
      </c>
      <c r="E47" s="721">
        <v>18731538</v>
      </c>
      <c r="F47" s="721">
        <v>0</v>
      </c>
      <c r="G47" s="721">
        <v>18719538</v>
      </c>
    </row>
    <row r="48" spans="1:7" x14ac:dyDescent="0.2">
      <c r="A48" s="719" t="s">
        <v>1237</v>
      </c>
      <c r="B48" s="720" t="s">
        <v>1323</v>
      </c>
      <c r="C48" s="721">
        <v>25212418</v>
      </c>
      <c r="D48" s="721">
        <v>24288662</v>
      </c>
      <c r="E48" s="721">
        <v>24031486</v>
      </c>
      <c r="F48" s="721">
        <v>0</v>
      </c>
      <c r="G48" s="721">
        <v>23848705</v>
      </c>
    </row>
    <row r="49" spans="1:7" x14ac:dyDescent="0.2">
      <c r="A49" s="719" t="s">
        <v>1239</v>
      </c>
      <c r="B49" s="720" t="s">
        <v>1324</v>
      </c>
      <c r="C49" s="721">
        <v>81000</v>
      </c>
      <c r="D49" s="721">
        <v>7916085</v>
      </c>
      <c r="E49" s="721">
        <v>7916085</v>
      </c>
      <c r="F49" s="721">
        <v>0</v>
      </c>
      <c r="G49" s="721">
        <v>7916085</v>
      </c>
    </row>
    <row r="50" spans="1:7" ht="25.5" x14ac:dyDescent="0.2">
      <c r="A50" s="719" t="s">
        <v>1325</v>
      </c>
      <c r="B50" s="720" t="s">
        <v>1326</v>
      </c>
      <c r="C50" s="721">
        <v>5800000</v>
      </c>
      <c r="D50" s="721">
        <v>5800001</v>
      </c>
      <c r="E50" s="721">
        <v>5550328</v>
      </c>
      <c r="F50" s="721">
        <v>0</v>
      </c>
      <c r="G50" s="721">
        <v>5550328</v>
      </c>
    </row>
    <row r="51" spans="1:7" ht="25.5" x14ac:dyDescent="0.2">
      <c r="A51" s="719" t="s">
        <v>1327</v>
      </c>
      <c r="B51" s="720" t="s">
        <v>1328</v>
      </c>
      <c r="C51" s="721">
        <v>5800000</v>
      </c>
      <c r="D51" s="721">
        <v>5800001</v>
      </c>
      <c r="E51" s="721">
        <v>5550328</v>
      </c>
      <c r="F51" s="721">
        <v>0</v>
      </c>
      <c r="G51" s="721">
        <v>5550328</v>
      </c>
    </row>
    <row r="52" spans="1:7" ht="25.5" x14ac:dyDescent="0.2">
      <c r="A52" s="719" t="s">
        <v>1329</v>
      </c>
      <c r="B52" s="720" t="s">
        <v>1330</v>
      </c>
      <c r="C52" s="721">
        <v>0</v>
      </c>
      <c r="D52" s="721">
        <v>0</v>
      </c>
      <c r="E52" s="721">
        <v>721617</v>
      </c>
      <c r="F52" s="721">
        <v>0</v>
      </c>
      <c r="G52" s="721">
        <v>721617</v>
      </c>
    </row>
    <row r="53" spans="1:7" ht="25.5" x14ac:dyDescent="0.2">
      <c r="A53" s="719" t="s">
        <v>1331</v>
      </c>
      <c r="B53" s="720" t="s">
        <v>1332</v>
      </c>
      <c r="C53" s="721">
        <v>0</v>
      </c>
      <c r="D53" s="721">
        <v>0</v>
      </c>
      <c r="E53" s="721">
        <v>0</v>
      </c>
      <c r="F53" s="721">
        <v>0</v>
      </c>
      <c r="G53" s="721">
        <v>721617</v>
      </c>
    </row>
    <row r="54" spans="1:7" ht="25.5" x14ac:dyDescent="0.2">
      <c r="A54" s="719" t="s">
        <v>1333</v>
      </c>
      <c r="B54" s="720" t="s">
        <v>1334</v>
      </c>
      <c r="C54" s="721">
        <v>0</v>
      </c>
      <c r="D54" s="721">
        <v>0</v>
      </c>
      <c r="E54" s="721">
        <v>721617</v>
      </c>
      <c r="F54" s="721">
        <v>0</v>
      </c>
      <c r="G54" s="721">
        <v>721617</v>
      </c>
    </row>
    <row r="55" spans="1:7" ht="25.5" x14ac:dyDescent="0.2">
      <c r="A55" s="719" t="s">
        <v>1335</v>
      </c>
      <c r="B55" s="720" t="s">
        <v>1336</v>
      </c>
      <c r="C55" s="721">
        <v>170000</v>
      </c>
      <c r="D55" s="721">
        <v>469762</v>
      </c>
      <c r="E55" s="721">
        <v>503512</v>
      </c>
      <c r="F55" s="721">
        <v>0</v>
      </c>
      <c r="G55" s="721">
        <v>503512</v>
      </c>
    </row>
    <row r="56" spans="1:7" ht="76.5" x14ac:dyDescent="0.2">
      <c r="A56" s="719" t="s">
        <v>1337</v>
      </c>
      <c r="B56" s="720" t="s">
        <v>1338</v>
      </c>
      <c r="C56" s="721">
        <v>0</v>
      </c>
      <c r="D56" s="721">
        <v>0</v>
      </c>
      <c r="E56" s="721">
        <v>0</v>
      </c>
      <c r="F56" s="721">
        <v>0</v>
      </c>
      <c r="G56" s="721">
        <v>2898</v>
      </c>
    </row>
    <row r="57" spans="1:7" x14ac:dyDescent="0.2">
      <c r="A57" s="719" t="s">
        <v>1339</v>
      </c>
      <c r="B57" s="720" t="s">
        <v>1340</v>
      </c>
      <c r="C57" s="721">
        <v>0</v>
      </c>
      <c r="D57" s="721">
        <v>0</v>
      </c>
      <c r="E57" s="721">
        <v>0</v>
      </c>
      <c r="F57" s="721">
        <v>0</v>
      </c>
      <c r="G57" s="721">
        <v>248024</v>
      </c>
    </row>
    <row r="58" spans="1:7" ht="38.25" x14ac:dyDescent="0.2">
      <c r="A58" s="722" t="s">
        <v>1341</v>
      </c>
      <c r="B58" s="723" t="s">
        <v>1342</v>
      </c>
      <c r="C58" s="724">
        <v>138395493</v>
      </c>
      <c r="D58" s="724">
        <v>155753344</v>
      </c>
      <c r="E58" s="724">
        <v>141860949</v>
      </c>
      <c r="F58" s="724">
        <v>0</v>
      </c>
      <c r="G58" s="724">
        <v>140909279</v>
      </c>
    </row>
    <row r="59" spans="1:7" x14ac:dyDescent="0.2">
      <c r="A59" s="719" t="s">
        <v>1343</v>
      </c>
      <c r="B59" s="720" t="s">
        <v>1344</v>
      </c>
      <c r="C59" s="721">
        <v>0</v>
      </c>
      <c r="D59" s="721">
        <v>2200000</v>
      </c>
      <c r="E59" s="721">
        <v>2200000</v>
      </c>
      <c r="F59" s="721">
        <v>0</v>
      </c>
      <c r="G59" s="721">
        <v>2200000</v>
      </c>
    </row>
    <row r="60" spans="1:7" x14ac:dyDescent="0.2">
      <c r="A60" s="719" t="s">
        <v>1345</v>
      </c>
      <c r="B60" s="720" t="s">
        <v>1346</v>
      </c>
      <c r="C60" s="721">
        <v>0</v>
      </c>
      <c r="D60" s="721">
        <v>117000</v>
      </c>
      <c r="E60" s="721">
        <v>117000</v>
      </c>
      <c r="F60" s="721">
        <v>0</v>
      </c>
      <c r="G60" s="721">
        <v>117000</v>
      </c>
    </row>
    <row r="61" spans="1:7" ht="25.5" x14ac:dyDescent="0.2">
      <c r="A61" s="722" t="s">
        <v>1347</v>
      </c>
      <c r="B61" s="723" t="s">
        <v>1348</v>
      </c>
      <c r="C61" s="724">
        <v>0</v>
      </c>
      <c r="D61" s="724">
        <v>2317000</v>
      </c>
      <c r="E61" s="724">
        <v>2317000</v>
      </c>
      <c r="F61" s="724">
        <v>0</v>
      </c>
      <c r="G61" s="724">
        <v>2317000</v>
      </c>
    </row>
    <row r="62" spans="1:7" ht="38.25" x14ac:dyDescent="0.2">
      <c r="A62" s="719" t="s">
        <v>1349</v>
      </c>
      <c r="B62" s="720" t="s">
        <v>1350</v>
      </c>
      <c r="C62" s="721">
        <v>370000</v>
      </c>
      <c r="D62" s="721">
        <v>1272116</v>
      </c>
      <c r="E62" s="721">
        <v>2140671</v>
      </c>
      <c r="F62" s="721">
        <v>15114000</v>
      </c>
      <c r="G62" s="721">
        <v>1272116</v>
      </c>
    </row>
    <row r="63" spans="1:7" x14ac:dyDescent="0.2">
      <c r="A63" s="719" t="s">
        <v>1243</v>
      </c>
      <c r="B63" s="720" t="s">
        <v>1351</v>
      </c>
      <c r="C63" s="721">
        <v>0</v>
      </c>
      <c r="D63" s="721">
        <v>0</v>
      </c>
      <c r="E63" s="721">
        <v>0</v>
      </c>
      <c r="F63" s="721">
        <v>0</v>
      </c>
      <c r="G63" s="721">
        <v>1272116</v>
      </c>
    </row>
    <row r="64" spans="1:7" ht="25.5" x14ac:dyDescent="0.2">
      <c r="A64" s="722" t="s">
        <v>1352</v>
      </c>
      <c r="B64" s="723" t="s">
        <v>1353</v>
      </c>
      <c r="C64" s="724">
        <v>370000</v>
      </c>
      <c r="D64" s="724">
        <v>1272116</v>
      </c>
      <c r="E64" s="724">
        <v>2140671</v>
      </c>
      <c r="F64" s="724">
        <v>15114000</v>
      </c>
      <c r="G64" s="724">
        <v>1272116</v>
      </c>
    </row>
    <row r="65" spans="1:7" ht="38.25" x14ac:dyDescent="0.2">
      <c r="A65" s="719" t="s">
        <v>1354</v>
      </c>
      <c r="B65" s="720" t="s">
        <v>1355</v>
      </c>
      <c r="C65" s="721">
        <v>705000</v>
      </c>
      <c r="D65" s="721">
        <v>1230145</v>
      </c>
      <c r="E65" s="721">
        <v>3826085</v>
      </c>
      <c r="F65" s="721">
        <v>2670416</v>
      </c>
      <c r="G65" s="721">
        <v>1230145</v>
      </c>
    </row>
    <row r="66" spans="1:7" x14ac:dyDescent="0.2">
      <c r="A66" s="719" t="s">
        <v>1255</v>
      </c>
      <c r="B66" s="720" t="s">
        <v>1356</v>
      </c>
      <c r="C66" s="721">
        <v>0</v>
      </c>
      <c r="D66" s="721">
        <v>0</v>
      </c>
      <c r="E66" s="721">
        <v>0</v>
      </c>
      <c r="F66" s="721">
        <v>0</v>
      </c>
      <c r="G66" s="721">
        <v>1230145</v>
      </c>
    </row>
    <row r="67" spans="1:7" ht="25.5" x14ac:dyDescent="0.2">
      <c r="A67" s="719" t="s">
        <v>1357</v>
      </c>
      <c r="B67" s="720" t="s">
        <v>1358</v>
      </c>
      <c r="C67" s="721">
        <v>408000</v>
      </c>
      <c r="D67" s="721">
        <v>9995067</v>
      </c>
      <c r="E67" s="721">
        <v>13172105</v>
      </c>
      <c r="F67" s="721">
        <v>30000</v>
      </c>
      <c r="G67" s="721">
        <v>9995067</v>
      </c>
    </row>
    <row r="68" spans="1:7" x14ac:dyDescent="0.2">
      <c r="A68" s="719" t="s">
        <v>1359</v>
      </c>
      <c r="B68" s="720" t="s">
        <v>1360</v>
      </c>
      <c r="C68" s="721">
        <v>0</v>
      </c>
      <c r="D68" s="721">
        <v>0</v>
      </c>
      <c r="E68" s="721">
        <v>0</v>
      </c>
      <c r="F68" s="721">
        <v>0</v>
      </c>
      <c r="G68" s="721">
        <v>8140287</v>
      </c>
    </row>
    <row r="69" spans="1:7" x14ac:dyDescent="0.2">
      <c r="A69" s="719" t="s">
        <v>1361</v>
      </c>
      <c r="B69" s="720" t="s">
        <v>1362</v>
      </c>
      <c r="C69" s="721">
        <v>0</v>
      </c>
      <c r="D69" s="721">
        <v>0</v>
      </c>
      <c r="E69" s="721">
        <v>0</v>
      </c>
      <c r="F69" s="721">
        <v>0</v>
      </c>
      <c r="G69" s="721">
        <v>1854780</v>
      </c>
    </row>
    <row r="70" spans="1:7" ht="25.5" x14ac:dyDescent="0.2">
      <c r="A70" s="722" t="s">
        <v>1363</v>
      </c>
      <c r="B70" s="723" t="s">
        <v>1364</v>
      </c>
      <c r="C70" s="724">
        <v>1113000</v>
      </c>
      <c r="D70" s="724">
        <v>11225212</v>
      </c>
      <c r="E70" s="724">
        <v>16998190</v>
      </c>
      <c r="F70" s="724">
        <v>2700416</v>
      </c>
      <c r="G70" s="724">
        <v>11225212</v>
      </c>
    </row>
    <row r="71" spans="1:7" ht="25.5" x14ac:dyDescent="0.2">
      <c r="A71" s="722" t="s">
        <v>1365</v>
      </c>
      <c r="B71" s="723" t="s">
        <v>1366</v>
      </c>
      <c r="C71" s="724">
        <v>1647284770</v>
      </c>
      <c r="D71" s="724">
        <v>2054058174</v>
      </c>
      <c r="E71" s="724">
        <v>1938382952</v>
      </c>
      <c r="F71" s="724">
        <v>17814416</v>
      </c>
      <c r="G71" s="724">
        <v>1915953822</v>
      </c>
    </row>
  </sheetData>
  <mergeCells count="2">
    <mergeCell ref="A2:G2"/>
    <mergeCell ref="A1:I1"/>
  </mergeCells>
  <pageMargins left="0.74803149606299213" right="0.74803149606299213" top="0.98425196850393704" bottom="0.98425196850393704" header="0.51181102362204722" footer="0.51181102362204722"/>
  <pageSetup paperSize="9" scale="38" fitToHeight="0" orientation="portrait" horizontalDpi="300" verticalDpi="300" r:id="rId1"/>
  <headerFooter alignWithMargins="0">
    <oddHeader xml:space="preserve">&amp;C11/2019. (V.17.) számú költségvetési rendelethez
Zalakaros Város Önkormányzata 2018.évi költségvetési bevételei
</oddHeader>
  </headerFooter>
  <rowBreaks count="1" manualBreakCount="1">
    <brk id="34" max="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view="pageLayout" topLeftCell="A4" zoomScaleNormal="100" workbookViewId="0">
      <selection activeCell="E16" sqref="E16"/>
    </sheetView>
  </sheetViews>
  <sheetFormatPr defaultRowHeight="12.75" x14ac:dyDescent="0.2"/>
  <cols>
    <col min="1" max="1" width="8.140625" customWidth="1"/>
    <col min="2" max="2" width="41" customWidth="1"/>
    <col min="3" max="3" width="20" bestFit="1" customWidth="1"/>
    <col min="4" max="4" width="17" customWidth="1"/>
    <col min="5" max="5" width="25.85546875" customWidth="1"/>
    <col min="6" max="6" width="26" customWidth="1"/>
    <col min="7" max="7" width="23.85546875" customWidth="1"/>
    <col min="8" max="8" width="22.85546875" customWidth="1"/>
    <col min="9" max="9" width="25.7109375" customWidth="1"/>
    <col min="257" max="257" width="8.140625" customWidth="1"/>
    <col min="258" max="258" width="41" customWidth="1"/>
    <col min="259" max="265" width="32.85546875" customWidth="1"/>
    <col min="513" max="513" width="8.140625" customWidth="1"/>
    <col min="514" max="514" width="41" customWidth="1"/>
    <col min="515" max="521" width="32.85546875" customWidth="1"/>
    <col min="769" max="769" width="8.140625" customWidth="1"/>
    <col min="770" max="770" width="41" customWidth="1"/>
    <col min="771" max="777" width="32.85546875" customWidth="1"/>
    <col min="1025" max="1025" width="8.140625" customWidth="1"/>
    <col min="1026" max="1026" width="41" customWidth="1"/>
    <col min="1027" max="1033" width="32.85546875" customWidth="1"/>
    <col min="1281" max="1281" width="8.140625" customWidth="1"/>
    <col min="1282" max="1282" width="41" customWidth="1"/>
    <col min="1283" max="1289" width="32.85546875" customWidth="1"/>
    <col min="1537" max="1537" width="8.140625" customWidth="1"/>
    <col min="1538" max="1538" width="41" customWidth="1"/>
    <col min="1539" max="1545" width="32.85546875" customWidth="1"/>
    <col min="1793" max="1793" width="8.140625" customWidth="1"/>
    <col min="1794" max="1794" width="41" customWidth="1"/>
    <col min="1795" max="1801" width="32.85546875" customWidth="1"/>
    <col min="2049" max="2049" width="8.140625" customWidth="1"/>
    <col min="2050" max="2050" width="41" customWidth="1"/>
    <col min="2051" max="2057" width="32.85546875" customWidth="1"/>
    <col min="2305" max="2305" width="8.140625" customWidth="1"/>
    <col min="2306" max="2306" width="41" customWidth="1"/>
    <col min="2307" max="2313" width="32.85546875" customWidth="1"/>
    <col min="2561" max="2561" width="8.140625" customWidth="1"/>
    <col min="2562" max="2562" width="41" customWidth="1"/>
    <col min="2563" max="2569" width="32.85546875" customWidth="1"/>
    <col min="2817" max="2817" width="8.140625" customWidth="1"/>
    <col min="2818" max="2818" width="41" customWidth="1"/>
    <col min="2819" max="2825" width="32.85546875" customWidth="1"/>
    <col min="3073" max="3073" width="8.140625" customWidth="1"/>
    <col min="3074" max="3074" width="41" customWidth="1"/>
    <col min="3075" max="3081" width="32.85546875" customWidth="1"/>
    <col min="3329" max="3329" width="8.140625" customWidth="1"/>
    <col min="3330" max="3330" width="41" customWidth="1"/>
    <col min="3331" max="3337" width="32.85546875" customWidth="1"/>
    <col min="3585" max="3585" width="8.140625" customWidth="1"/>
    <col min="3586" max="3586" width="41" customWidth="1"/>
    <col min="3587" max="3593" width="32.85546875" customWidth="1"/>
    <col min="3841" max="3841" width="8.140625" customWidth="1"/>
    <col min="3842" max="3842" width="41" customWidth="1"/>
    <col min="3843" max="3849" width="32.85546875" customWidth="1"/>
    <col min="4097" max="4097" width="8.140625" customWidth="1"/>
    <col min="4098" max="4098" width="41" customWidth="1"/>
    <col min="4099" max="4105" width="32.85546875" customWidth="1"/>
    <col min="4353" max="4353" width="8.140625" customWidth="1"/>
    <col min="4354" max="4354" width="41" customWidth="1"/>
    <col min="4355" max="4361" width="32.85546875" customWidth="1"/>
    <col min="4609" max="4609" width="8.140625" customWidth="1"/>
    <col min="4610" max="4610" width="41" customWidth="1"/>
    <col min="4611" max="4617" width="32.85546875" customWidth="1"/>
    <col min="4865" max="4865" width="8.140625" customWidth="1"/>
    <col min="4866" max="4866" width="41" customWidth="1"/>
    <col min="4867" max="4873" width="32.85546875" customWidth="1"/>
    <col min="5121" max="5121" width="8.140625" customWidth="1"/>
    <col min="5122" max="5122" width="41" customWidth="1"/>
    <col min="5123" max="5129" width="32.85546875" customWidth="1"/>
    <col min="5377" max="5377" width="8.140625" customWidth="1"/>
    <col min="5378" max="5378" width="41" customWidth="1"/>
    <col min="5379" max="5385" width="32.85546875" customWidth="1"/>
    <col min="5633" max="5633" width="8.140625" customWidth="1"/>
    <col min="5634" max="5634" width="41" customWidth="1"/>
    <col min="5635" max="5641" width="32.85546875" customWidth="1"/>
    <col min="5889" max="5889" width="8.140625" customWidth="1"/>
    <col min="5890" max="5890" width="41" customWidth="1"/>
    <col min="5891" max="5897" width="32.85546875" customWidth="1"/>
    <col min="6145" max="6145" width="8.140625" customWidth="1"/>
    <col min="6146" max="6146" width="41" customWidth="1"/>
    <col min="6147" max="6153" width="32.85546875" customWidth="1"/>
    <col min="6401" max="6401" width="8.140625" customWidth="1"/>
    <col min="6402" max="6402" width="41" customWidth="1"/>
    <col min="6403" max="6409" width="32.85546875" customWidth="1"/>
    <col min="6657" max="6657" width="8.140625" customWidth="1"/>
    <col min="6658" max="6658" width="41" customWidth="1"/>
    <col min="6659" max="6665" width="32.85546875" customWidth="1"/>
    <col min="6913" max="6913" width="8.140625" customWidth="1"/>
    <col min="6914" max="6914" width="41" customWidth="1"/>
    <col min="6915" max="6921" width="32.85546875" customWidth="1"/>
    <col min="7169" max="7169" width="8.140625" customWidth="1"/>
    <col min="7170" max="7170" width="41" customWidth="1"/>
    <col min="7171" max="7177" width="32.85546875" customWidth="1"/>
    <col min="7425" max="7425" width="8.140625" customWidth="1"/>
    <col min="7426" max="7426" width="41" customWidth="1"/>
    <col min="7427" max="7433" width="32.85546875" customWidth="1"/>
    <col min="7681" max="7681" width="8.140625" customWidth="1"/>
    <col min="7682" max="7682" width="41" customWidth="1"/>
    <col min="7683" max="7689" width="32.85546875" customWidth="1"/>
    <col min="7937" max="7937" width="8.140625" customWidth="1"/>
    <col min="7938" max="7938" width="41" customWidth="1"/>
    <col min="7939" max="7945" width="32.85546875" customWidth="1"/>
    <col min="8193" max="8193" width="8.140625" customWidth="1"/>
    <col min="8194" max="8194" width="41" customWidth="1"/>
    <col min="8195" max="8201" width="32.85546875" customWidth="1"/>
    <col min="8449" max="8449" width="8.140625" customWidth="1"/>
    <col min="8450" max="8450" width="41" customWidth="1"/>
    <col min="8451" max="8457" width="32.85546875" customWidth="1"/>
    <col min="8705" max="8705" width="8.140625" customWidth="1"/>
    <col min="8706" max="8706" width="41" customWidth="1"/>
    <col min="8707" max="8713" width="32.85546875" customWidth="1"/>
    <col min="8961" max="8961" width="8.140625" customWidth="1"/>
    <col min="8962" max="8962" width="41" customWidth="1"/>
    <col min="8963" max="8969" width="32.85546875" customWidth="1"/>
    <col min="9217" max="9217" width="8.140625" customWidth="1"/>
    <col min="9218" max="9218" width="41" customWidth="1"/>
    <col min="9219" max="9225" width="32.85546875" customWidth="1"/>
    <col min="9473" max="9473" width="8.140625" customWidth="1"/>
    <col min="9474" max="9474" width="41" customWidth="1"/>
    <col min="9475" max="9481" width="32.85546875" customWidth="1"/>
    <col min="9729" max="9729" width="8.140625" customWidth="1"/>
    <col min="9730" max="9730" width="41" customWidth="1"/>
    <col min="9731" max="9737" width="32.85546875" customWidth="1"/>
    <col min="9985" max="9985" width="8.140625" customWidth="1"/>
    <col min="9986" max="9986" width="41" customWidth="1"/>
    <col min="9987" max="9993" width="32.85546875" customWidth="1"/>
    <col min="10241" max="10241" width="8.140625" customWidth="1"/>
    <col min="10242" max="10242" width="41" customWidth="1"/>
    <col min="10243" max="10249" width="32.85546875" customWidth="1"/>
    <col min="10497" max="10497" width="8.140625" customWidth="1"/>
    <col min="10498" max="10498" width="41" customWidth="1"/>
    <col min="10499" max="10505" width="32.85546875" customWidth="1"/>
    <col min="10753" max="10753" width="8.140625" customWidth="1"/>
    <col min="10754" max="10754" width="41" customWidth="1"/>
    <col min="10755" max="10761" width="32.85546875" customWidth="1"/>
    <col min="11009" max="11009" width="8.140625" customWidth="1"/>
    <col min="11010" max="11010" width="41" customWidth="1"/>
    <col min="11011" max="11017" width="32.85546875" customWidth="1"/>
    <col min="11265" max="11265" width="8.140625" customWidth="1"/>
    <col min="11266" max="11266" width="41" customWidth="1"/>
    <col min="11267" max="11273" width="32.85546875" customWidth="1"/>
    <col min="11521" max="11521" width="8.140625" customWidth="1"/>
    <col min="11522" max="11522" width="41" customWidth="1"/>
    <col min="11523" max="11529" width="32.85546875" customWidth="1"/>
    <col min="11777" max="11777" width="8.140625" customWidth="1"/>
    <col min="11778" max="11778" width="41" customWidth="1"/>
    <col min="11779" max="11785" width="32.85546875" customWidth="1"/>
    <col min="12033" max="12033" width="8.140625" customWidth="1"/>
    <col min="12034" max="12034" width="41" customWidth="1"/>
    <col min="12035" max="12041" width="32.85546875" customWidth="1"/>
    <col min="12289" max="12289" width="8.140625" customWidth="1"/>
    <col min="12290" max="12290" width="41" customWidth="1"/>
    <col min="12291" max="12297" width="32.85546875" customWidth="1"/>
    <col min="12545" max="12545" width="8.140625" customWidth="1"/>
    <col min="12546" max="12546" width="41" customWidth="1"/>
    <col min="12547" max="12553" width="32.85546875" customWidth="1"/>
    <col min="12801" max="12801" width="8.140625" customWidth="1"/>
    <col min="12802" max="12802" width="41" customWidth="1"/>
    <col min="12803" max="12809" width="32.85546875" customWidth="1"/>
    <col min="13057" max="13057" width="8.140625" customWidth="1"/>
    <col min="13058" max="13058" width="41" customWidth="1"/>
    <col min="13059" max="13065" width="32.85546875" customWidth="1"/>
    <col min="13313" max="13313" width="8.140625" customWidth="1"/>
    <col min="13314" max="13314" width="41" customWidth="1"/>
    <col min="13315" max="13321" width="32.85546875" customWidth="1"/>
    <col min="13569" max="13569" width="8.140625" customWidth="1"/>
    <col min="13570" max="13570" width="41" customWidth="1"/>
    <col min="13571" max="13577" width="32.85546875" customWidth="1"/>
    <col min="13825" max="13825" width="8.140625" customWidth="1"/>
    <col min="13826" max="13826" width="41" customWidth="1"/>
    <col min="13827" max="13833" width="32.85546875" customWidth="1"/>
    <col min="14081" max="14081" width="8.140625" customWidth="1"/>
    <col min="14082" max="14082" width="41" customWidth="1"/>
    <col min="14083" max="14089" width="32.85546875" customWidth="1"/>
    <col min="14337" max="14337" width="8.140625" customWidth="1"/>
    <col min="14338" max="14338" width="41" customWidth="1"/>
    <col min="14339" max="14345" width="32.85546875" customWidth="1"/>
    <col min="14593" max="14593" width="8.140625" customWidth="1"/>
    <col min="14594" max="14594" width="41" customWidth="1"/>
    <col min="14595" max="14601" width="32.85546875" customWidth="1"/>
    <col min="14849" max="14849" width="8.140625" customWidth="1"/>
    <col min="14850" max="14850" width="41" customWidth="1"/>
    <col min="14851" max="14857" width="32.85546875" customWidth="1"/>
    <col min="15105" max="15105" width="8.140625" customWidth="1"/>
    <col min="15106" max="15106" width="41" customWidth="1"/>
    <col min="15107" max="15113" width="32.85546875" customWidth="1"/>
    <col min="15361" max="15361" width="8.140625" customWidth="1"/>
    <col min="15362" max="15362" width="41" customWidth="1"/>
    <col min="15363" max="15369" width="32.85546875" customWidth="1"/>
    <col min="15617" max="15617" width="8.140625" customWidth="1"/>
    <col min="15618" max="15618" width="41" customWidth="1"/>
    <col min="15619" max="15625" width="32.85546875" customWidth="1"/>
    <col min="15873" max="15873" width="8.140625" customWidth="1"/>
    <col min="15874" max="15874" width="41" customWidth="1"/>
    <col min="15875" max="15881" width="32.85546875" customWidth="1"/>
    <col min="16129" max="16129" width="8.140625" customWidth="1"/>
    <col min="16130" max="16130" width="41" customWidth="1"/>
    <col min="16131" max="16137" width="32.85546875" customWidth="1"/>
  </cols>
  <sheetData>
    <row r="1" spans="1:13" s="707" customFormat="1" ht="12.75" customHeight="1" x14ac:dyDescent="0.2">
      <c r="B1" s="1057" t="s">
        <v>1367</v>
      </c>
      <c r="C1" s="1057"/>
      <c r="D1" s="1057"/>
      <c r="E1" s="1057"/>
      <c r="F1" s="1057"/>
      <c r="G1" s="1057"/>
      <c r="H1" s="1057"/>
      <c r="I1" s="1057"/>
      <c r="J1" s="716"/>
      <c r="K1" s="716"/>
      <c r="L1" s="716"/>
      <c r="M1" s="716"/>
    </row>
    <row r="2" spans="1:13" ht="15" x14ac:dyDescent="0.2">
      <c r="A2" s="1057"/>
      <c r="B2" s="1058"/>
      <c r="C2" s="1058"/>
      <c r="D2" s="1058"/>
      <c r="E2" s="1058"/>
      <c r="F2" s="1058"/>
      <c r="G2" s="1058"/>
      <c r="H2" s="1058"/>
      <c r="I2" s="1058"/>
    </row>
    <row r="3" spans="1:13" ht="116.25" customHeight="1" x14ac:dyDescent="0.2">
      <c r="A3" s="713" t="s">
        <v>705</v>
      </c>
      <c r="B3" s="713" t="s">
        <v>15</v>
      </c>
      <c r="C3" s="713" t="s">
        <v>1078</v>
      </c>
      <c r="D3" s="713" t="s">
        <v>1079</v>
      </c>
      <c r="E3" s="713" t="s">
        <v>1080</v>
      </c>
      <c r="F3" s="713" t="s">
        <v>1081</v>
      </c>
      <c r="G3" s="713" t="s">
        <v>1082</v>
      </c>
      <c r="H3" s="713" t="s">
        <v>1083</v>
      </c>
      <c r="I3" s="713" t="s">
        <v>1084</v>
      </c>
    </row>
    <row r="4" spans="1:13" ht="15" x14ac:dyDescent="0.2">
      <c r="A4" s="713">
        <v>1</v>
      </c>
      <c r="B4" s="713">
        <v>2</v>
      </c>
      <c r="C4" s="713">
        <v>3</v>
      </c>
      <c r="D4" s="713">
        <v>4</v>
      </c>
      <c r="E4" s="713">
        <v>5</v>
      </c>
      <c r="F4" s="713">
        <v>6</v>
      </c>
      <c r="G4" s="713">
        <v>7</v>
      </c>
      <c r="H4" s="713">
        <v>8</v>
      </c>
      <c r="I4" s="713">
        <v>9</v>
      </c>
    </row>
    <row r="5" spans="1:13" ht="25.5" x14ac:dyDescent="0.2">
      <c r="A5" s="719" t="s">
        <v>1085</v>
      </c>
      <c r="B5" s="720" t="s">
        <v>1368</v>
      </c>
      <c r="C5" s="721">
        <v>10000000</v>
      </c>
      <c r="D5" s="721">
        <v>10000000</v>
      </c>
      <c r="E5" s="721">
        <v>0</v>
      </c>
      <c r="F5" s="721">
        <v>10000000</v>
      </c>
      <c r="G5" s="721">
        <v>0</v>
      </c>
      <c r="H5" s="721">
        <v>70000000</v>
      </c>
      <c r="I5" s="721">
        <v>10000000</v>
      </c>
    </row>
    <row r="6" spans="1:13" ht="25.5" x14ac:dyDescent="0.2">
      <c r="A6" s="719" t="s">
        <v>1091</v>
      </c>
      <c r="B6" s="720" t="s">
        <v>1369</v>
      </c>
      <c r="C6" s="721">
        <v>10000000</v>
      </c>
      <c r="D6" s="721">
        <v>10000000</v>
      </c>
      <c r="E6" s="721">
        <v>0</v>
      </c>
      <c r="F6" s="721">
        <v>10000000</v>
      </c>
      <c r="G6" s="721">
        <v>0</v>
      </c>
      <c r="H6" s="721">
        <v>70000000</v>
      </c>
      <c r="I6" s="721">
        <v>10000000</v>
      </c>
    </row>
    <row r="7" spans="1:13" ht="25.5" x14ac:dyDescent="0.2">
      <c r="A7" s="719" t="s">
        <v>1093</v>
      </c>
      <c r="B7" s="720" t="s">
        <v>1370</v>
      </c>
      <c r="C7" s="721">
        <v>100000000</v>
      </c>
      <c r="D7" s="721">
        <v>100000000</v>
      </c>
      <c r="E7" s="721">
        <v>0</v>
      </c>
      <c r="F7" s="721">
        <v>100000000</v>
      </c>
      <c r="G7" s="721">
        <v>0</v>
      </c>
      <c r="H7" s="721">
        <v>0</v>
      </c>
      <c r="I7" s="721">
        <v>100000000</v>
      </c>
    </row>
    <row r="8" spans="1:13" ht="25.5" x14ac:dyDescent="0.2">
      <c r="A8" s="719" t="s">
        <v>1109</v>
      </c>
      <c r="B8" s="720" t="s">
        <v>1371</v>
      </c>
      <c r="C8" s="721">
        <v>100000000</v>
      </c>
      <c r="D8" s="721">
        <v>100000000</v>
      </c>
      <c r="E8" s="721">
        <v>0</v>
      </c>
      <c r="F8" s="721">
        <v>100000000</v>
      </c>
      <c r="G8" s="721">
        <v>0</v>
      </c>
      <c r="H8" s="721">
        <v>0</v>
      </c>
      <c r="I8" s="721">
        <v>100000000</v>
      </c>
    </row>
    <row r="9" spans="1:13" ht="25.5" x14ac:dyDescent="0.2">
      <c r="A9" s="719" t="s">
        <v>1113</v>
      </c>
      <c r="B9" s="720" t="s">
        <v>1372</v>
      </c>
      <c r="C9" s="721">
        <v>14048925</v>
      </c>
      <c r="D9" s="721">
        <v>14114285</v>
      </c>
      <c r="E9" s="721">
        <v>0</v>
      </c>
      <c r="F9" s="721">
        <v>14114285</v>
      </c>
      <c r="G9" s="721">
        <v>0</v>
      </c>
      <c r="H9" s="721">
        <v>16341860</v>
      </c>
      <c r="I9" s="721">
        <v>14098979</v>
      </c>
    </row>
    <row r="10" spans="1:13" ht="25.5" x14ac:dyDescent="0.2">
      <c r="A10" s="719" t="s">
        <v>1115</v>
      </c>
      <c r="B10" s="720" t="s">
        <v>1373</v>
      </c>
      <c r="C10" s="721">
        <v>249881669</v>
      </c>
      <c r="D10" s="721">
        <v>255752448</v>
      </c>
      <c r="E10" s="721">
        <v>0</v>
      </c>
      <c r="F10" s="721">
        <v>255752448</v>
      </c>
      <c r="G10" s="721">
        <v>0</v>
      </c>
      <c r="H10" s="721">
        <v>0</v>
      </c>
      <c r="I10" s="721">
        <v>255752448</v>
      </c>
    </row>
    <row r="11" spans="1:13" ht="25.5" x14ac:dyDescent="0.2">
      <c r="A11" s="719" t="s">
        <v>1129</v>
      </c>
      <c r="B11" s="720" t="s">
        <v>1374</v>
      </c>
      <c r="C11" s="721">
        <v>373930594</v>
      </c>
      <c r="D11" s="721">
        <v>379866733</v>
      </c>
      <c r="E11" s="721">
        <v>0</v>
      </c>
      <c r="F11" s="721">
        <v>379866733</v>
      </c>
      <c r="G11" s="721">
        <v>0</v>
      </c>
      <c r="H11" s="721">
        <v>86341860</v>
      </c>
      <c r="I11" s="721">
        <v>379851427</v>
      </c>
    </row>
    <row r="12" spans="1:13" ht="24" customHeight="1" x14ac:dyDescent="0.2">
      <c r="A12" s="722" t="s">
        <v>1147</v>
      </c>
      <c r="B12" s="723" t="s">
        <v>1375</v>
      </c>
      <c r="C12" s="724">
        <v>373930594</v>
      </c>
      <c r="D12" s="724">
        <v>379866733</v>
      </c>
      <c r="E12" s="724">
        <v>0</v>
      </c>
      <c r="F12" s="724">
        <v>379866733</v>
      </c>
      <c r="G12" s="724">
        <v>0</v>
      </c>
      <c r="H12" s="724">
        <v>86341860</v>
      </c>
      <c r="I12" s="724">
        <v>379851427</v>
      </c>
    </row>
  </sheetData>
  <mergeCells count="2">
    <mergeCell ref="A2:I2"/>
    <mergeCell ref="B1:I1"/>
  </mergeCells>
  <pageMargins left="0.74803149606299213" right="0.74803149606299213" top="0.98425196850393704" bottom="0.98425196850393704" header="0.51181102362204722" footer="0.51181102362204722"/>
  <pageSetup scale="44" orientation="landscape" horizontalDpi="300" verticalDpi="300" r:id="rId1"/>
  <headerFooter alignWithMargins="0">
    <oddHeader xml:space="preserve">&amp;C11/2019. (V.17.) számú költségvetési rendelethez
Zalakaros Város Önkormányzata 2018.évi finanszírozási kiadásai
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view="pageLayout" zoomScaleNormal="100" workbookViewId="0">
      <selection activeCell="E31" sqref="E31"/>
    </sheetView>
  </sheetViews>
  <sheetFormatPr defaultRowHeight="12.75" x14ac:dyDescent="0.2"/>
  <cols>
    <col min="1" max="1" width="8.140625" customWidth="1"/>
    <col min="2" max="2" width="41" customWidth="1"/>
    <col min="3" max="3" width="17.7109375" customWidth="1"/>
    <col min="4" max="4" width="17.42578125" customWidth="1"/>
    <col min="5" max="5" width="23.42578125" customWidth="1"/>
    <col min="6" max="6" width="21.42578125" customWidth="1"/>
    <col min="7" max="7" width="16.5703125" customWidth="1"/>
    <col min="257" max="257" width="8.140625" customWidth="1"/>
    <col min="258" max="258" width="41" customWidth="1"/>
    <col min="259" max="263" width="32.85546875" customWidth="1"/>
    <col min="513" max="513" width="8.140625" customWidth="1"/>
    <col min="514" max="514" width="41" customWidth="1"/>
    <col min="515" max="519" width="32.85546875" customWidth="1"/>
    <col min="769" max="769" width="8.140625" customWidth="1"/>
    <col min="770" max="770" width="41" customWidth="1"/>
    <col min="771" max="775" width="32.85546875" customWidth="1"/>
    <col min="1025" max="1025" width="8.140625" customWidth="1"/>
    <col min="1026" max="1026" width="41" customWidth="1"/>
    <col min="1027" max="1031" width="32.85546875" customWidth="1"/>
    <col min="1281" max="1281" width="8.140625" customWidth="1"/>
    <col min="1282" max="1282" width="41" customWidth="1"/>
    <col min="1283" max="1287" width="32.85546875" customWidth="1"/>
    <col min="1537" max="1537" width="8.140625" customWidth="1"/>
    <col min="1538" max="1538" width="41" customWidth="1"/>
    <col min="1539" max="1543" width="32.85546875" customWidth="1"/>
    <col min="1793" max="1793" width="8.140625" customWidth="1"/>
    <col min="1794" max="1794" width="41" customWidth="1"/>
    <col min="1795" max="1799" width="32.85546875" customWidth="1"/>
    <col min="2049" max="2049" width="8.140625" customWidth="1"/>
    <col min="2050" max="2050" width="41" customWidth="1"/>
    <col min="2051" max="2055" width="32.85546875" customWidth="1"/>
    <col min="2305" max="2305" width="8.140625" customWidth="1"/>
    <col min="2306" max="2306" width="41" customWidth="1"/>
    <col min="2307" max="2311" width="32.85546875" customWidth="1"/>
    <col min="2561" max="2561" width="8.140625" customWidth="1"/>
    <col min="2562" max="2562" width="41" customWidth="1"/>
    <col min="2563" max="2567" width="32.85546875" customWidth="1"/>
    <col min="2817" max="2817" width="8.140625" customWidth="1"/>
    <col min="2818" max="2818" width="41" customWidth="1"/>
    <col min="2819" max="2823" width="32.85546875" customWidth="1"/>
    <col min="3073" max="3073" width="8.140625" customWidth="1"/>
    <col min="3074" max="3074" width="41" customWidth="1"/>
    <col min="3075" max="3079" width="32.85546875" customWidth="1"/>
    <col min="3329" max="3329" width="8.140625" customWidth="1"/>
    <col min="3330" max="3330" width="41" customWidth="1"/>
    <col min="3331" max="3335" width="32.85546875" customWidth="1"/>
    <col min="3585" max="3585" width="8.140625" customWidth="1"/>
    <col min="3586" max="3586" width="41" customWidth="1"/>
    <col min="3587" max="3591" width="32.85546875" customWidth="1"/>
    <col min="3841" max="3841" width="8.140625" customWidth="1"/>
    <col min="3842" max="3842" width="41" customWidth="1"/>
    <col min="3843" max="3847" width="32.85546875" customWidth="1"/>
    <col min="4097" max="4097" width="8.140625" customWidth="1"/>
    <col min="4098" max="4098" width="41" customWidth="1"/>
    <col min="4099" max="4103" width="32.85546875" customWidth="1"/>
    <col min="4353" max="4353" width="8.140625" customWidth="1"/>
    <col min="4354" max="4354" width="41" customWidth="1"/>
    <col min="4355" max="4359" width="32.85546875" customWidth="1"/>
    <col min="4609" max="4609" width="8.140625" customWidth="1"/>
    <col min="4610" max="4610" width="41" customWidth="1"/>
    <col min="4611" max="4615" width="32.85546875" customWidth="1"/>
    <col min="4865" max="4865" width="8.140625" customWidth="1"/>
    <col min="4866" max="4866" width="41" customWidth="1"/>
    <col min="4867" max="4871" width="32.85546875" customWidth="1"/>
    <col min="5121" max="5121" width="8.140625" customWidth="1"/>
    <col min="5122" max="5122" width="41" customWidth="1"/>
    <col min="5123" max="5127" width="32.85546875" customWidth="1"/>
    <col min="5377" max="5377" width="8.140625" customWidth="1"/>
    <col min="5378" max="5378" width="41" customWidth="1"/>
    <col min="5379" max="5383" width="32.85546875" customWidth="1"/>
    <col min="5633" max="5633" width="8.140625" customWidth="1"/>
    <col min="5634" max="5634" width="41" customWidth="1"/>
    <col min="5635" max="5639" width="32.85546875" customWidth="1"/>
    <col min="5889" max="5889" width="8.140625" customWidth="1"/>
    <col min="5890" max="5890" width="41" customWidth="1"/>
    <col min="5891" max="5895" width="32.85546875" customWidth="1"/>
    <col min="6145" max="6145" width="8.140625" customWidth="1"/>
    <col min="6146" max="6146" width="41" customWidth="1"/>
    <col min="6147" max="6151" width="32.85546875" customWidth="1"/>
    <col min="6401" max="6401" width="8.140625" customWidth="1"/>
    <col min="6402" max="6402" width="41" customWidth="1"/>
    <col min="6403" max="6407" width="32.85546875" customWidth="1"/>
    <col min="6657" max="6657" width="8.140625" customWidth="1"/>
    <col min="6658" max="6658" width="41" customWidth="1"/>
    <col min="6659" max="6663" width="32.85546875" customWidth="1"/>
    <col min="6913" max="6913" width="8.140625" customWidth="1"/>
    <col min="6914" max="6914" width="41" customWidth="1"/>
    <col min="6915" max="6919" width="32.85546875" customWidth="1"/>
    <col min="7169" max="7169" width="8.140625" customWidth="1"/>
    <col min="7170" max="7170" width="41" customWidth="1"/>
    <col min="7171" max="7175" width="32.85546875" customWidth="1"/>
    <col min="7425" max="7425" width="8.140625" customWidth="1"/>
    <col min="7426" max="7426" width="41" customWidth="1"/>
    <col min="7427" max="7431" width="32.85546875" customWidth="1"/>
    <col min="7681" max="7681" width="8.140625" customWidth="1"/>
    <col min="7682" max="7682" width="41" customWidth="1"/>
    <col min="7683" max="7687" width="32.85546875" customWidth="1"/>
    <col min="7937" max="7937" width="8.140625" customWidth="1"/>
    <col min="7938" max="7938" width="41" customWidth="1"/>
    <col min="7939" max="7943" width="32.85546875" customWidth="1"/>
    <col min="8193" max="8193" width="8.140625" customWidth="1"/>
    <col min="8194" max="8194" width="41" customWidth="1"/>
    <col min="8195" max="8199" width="32.85546875" customWidth="1"/>
    <col min="8449" max="8449" width="8.140625" customWidth="1"/>
    <col min="8450" max="8450" width="41" customWidth="1"/>
    <col min="8451" max="8455" width="32.85546875" customWidth="1"/>
    <col min="8705" max="8705" width="8.140625" customWidth="1"/>
    <col min="8706" max="8706" width="41" customWidth="1"/>
    <col min="8707" max="8711" width="32.85546875" customWidth="1"/>
    <col min="8961" max="8961" width="8.140625" customWidth="1"/>
    <col min="8962" max="8962" width="41" customWidth="1"/>
    <col min="8963" max="8967" width="32.85546875" customWidth="1"/>
    <col min="9217" max="9217" width="8.140625" customWidth="1"/>
    <col min="9218" max="9218" width="41" customWidth="1"/>
    <col min="9219" max="9223" width="32.85546875" customWidth="1"/>
    <col min="9473" max="9473" width="8.140625" customWidth="1"/>
    <col min="9474" max="9474" width="41" customWidth="1"/>
    <col min="9475" max="9479" width="32.85546875" customWidth="1"/>
    <col min="9729" max="9729" width="8.140625" customWidth="1"/>
    <col min="9730" max="9730" width="41" customWidth="1"/>
    <col min="9731" max="9735" width="32.85546875" customWidth="1"/>
    <col min="9985" max="9985" width="8.140625" customWidth="1"/>
    <col min="9986" max="9986" width="41" customWidth="1"/>
    <col min="9987" max="9991" width="32.85546875" customWidth="1"/>
    <col min="10241" max="10241" width="8.140625" customWidth="1"/>
    <col min="10242" max="10242" width="41" customWidth="1"/>
    <col min="10243" max="10247" width="32.85546875" customWidth="1"/>
    <col min="10497" max="10497" width="8.140625" customWidth="1"/>
    <col min="10498" max="10498" width="41" customWidth="1"/>
    <col min="10499" max="10503" width="32.85546875" customWidth="1"/>
    <col min="10753" max="10753" width="8.140625" customWidth="1"/>
    <col min="10754" max="10754" width="41" customWidth="1"/>
    <col min="10755" max="10759" width="32.85546875" customWidth="1"/>
    <col min="11009" max="11009" width="8.140625" customWidth="1"/>
    <col min="11010" max="11010" width="41" customWidth="1"/>
    <col min="11011" max="11015" width="32.85546875" customWidth="1"/>
    <col min="11265" max="11265" width="8.140625" customWidth="1"/>
    <col min="11266" max="11266" width="41" customWidth="1"/>
    <col min="11267" max="11271" width="32.85546875" customWidth="1"/>
    <col min="11521" max="11521" width="8.140625" customWidth="1"/>
    <col min="11522" max="11522" width="41" customWidth="1"/>
    <col min="11523" max="11527" width="32.85546875" customWidth="1"/>
    <col min="11777" max="11777" width="8.140625" customWidth="1"/>
    <col min="11778" max="11778" width="41" customWidth="1"/>
    <col min="11779" max="11783" width="32.85546875" customWidth="1"/>
    <col min="12033" max="12033" width="8.140625" customWidth="1"/>
    <col min="12034" max="12034" width="41" customWidth="1"/>
    <col min="12035" max="12039" width="32.85546875" customWidth="1"/>
    <col min="12289" max="12289" width="8.140625" customWidth="1"/>
    <col min="12290" max="12290" width="41" customWidth="1"/>
    <col min="12291" max="12295" width="32.85546875" customWidth="1"/>
    <col min="12545" max="12545" width="8.140625" customWidth="1"/>
    <col min="12546" max="12546" width="41" customWidth="1"/>
    <col min="12547" max="12551" width="32.85546875" customWidth="1"/>
    <col min="12801" max="12801" width="8.140625" customWidth="1"/>
    <col min="12802" max="12802" width="41" customWidth="1"/>
    <col min="12803" max="12807" width="32.85546875" customWidth="1"/>
    <col min="13057" max="13057" width="8.140625" customWidth="1"/>
    <col min="13058" max="13058" width="41" customWidth="1"/>
    <col min="13059" max="13063" width="32.85546875" customWidth="1"/>
    <col min="13313" max="13313" width="8.140625" customWidth="1"/>
    <col min="13314" max="13314" width="41" customWidth="1"/>
    <col min="13315" max="13319" width="32.85546875" customWidth="1"/>
    <col min="13569" max="13569" width="8.140625" customWidth="1"/>
    <col min="13570" max="13570" width="41" customWidth="1"/>
    <col min="13571" max="13575" width="32.85546875" customWidth="1"/>
    <col min="13825" max="13825" width="8.140625" customWidth="1"/>
    <col min="13826" max="13826" width="41" customWidth="1"/>
    <col min="13827" max="13831" width="32.85546875" customWidth="1"/>
    <col min="14081" max="14081" width="8.140625" customWidth="1"/>
    <col min="14082" max="14082" width="41" customWidth="1"/>
    <col min="14083" max="14087" width="32.85546875" customWidth="1"/>
    <col min="14337" max="14337" width="8.140625" customWidth="1"/>
    <col min="14338" max="14338" width="41" customWidth="1"/>
    <col min="14339" max="14343" width="32.85546875" customWidth="1"/>
    <col min="14593" max="14593" width="8.140625" customWidth="1"/>
    <col min="14594" max="14594" width="41" customWidth="1"/>
    <col min="14595" max="14599" width="32.85546875" customWidth="1"/>
    <col min="14849" max="14849" width="8.140625" customWidth="1"/>
    <col min="14850" max="14850" width="41" customWidth="1"/>
    <col min="14851" max="14855" width="32.85546875" customWidth="1"/>
    <col min="15105" max="15105" width="8.140625" customWidth="1"/>
    <col min="15106" max="15106" width="41" customWidth="1"/>
    <col min="15107" max="15111" width="32.85546875" customWidth="1"/>
    <col min="15361" max="15361" width="8.140625" customWidth="1"/>
    <col min="15362" max="15362" width="41" customWidth="1"/>
    <col min="15363" max="15367" width="32.85546875" customWidth="1"/>
    <col min="15617" max="15617" width="8.140625" customWidth="1"/>
    <col min="15618" max="15618" width="41" customWidth="1"/>
    <col min="15619" max="15623" width="32.85546875" customWidth="1"/>
    <col min="15873" max="15873" width="8.140625" customWidth="1"/>
    <col min="15874" max="15874" width="41" customWidth="1"/>
    <col min="15875" max="15879" width="32.85546875" customWidth="1"/>
    <col min="16129" max="16129" width="8.140625" customWidth="1"/>
    <col min="16130" max="16130" width="41" customWidth="1"/>
    <col min="16131" max="16135" width="32.85546875" customWidth="1"/>
  </cols>
  <sheetData>
    <row r="1" spans="1:7" s="707" customFormat="1" x14ac:dyDescent="0.2">
      <c r="A1" s="1057" t="s">
        <v>1376</v>
      </c>
      <c r="B1" s="1058"/>
      <c r="C1" s="1058"/>
      <c r="D1" s="1058"/>
      <c r="E1" s="1058"/>
      <c r="F1" s="1058"/>
      <c r="G1" s="1058"/>
    </row>
    <row r="2" spans="1:7" ht="15" x14ac:dyDescent="0.2">
      <c r="A2" s="1057"/>
      <c r="B2" s="1058"/>
      <c r="C2" s="1058"/>
      <c r="D2" s="1058"/>
      <c r="E2" s="1058"/>
      <c r="F2" s="1058"/>
      <c r="G2" s="1058"/>
    </row>
    <row r="3" spans="1:7" ht="48" customHeight="1" x14ac:dyDescent="0.2">
      <c r="A3" s="713" t="s">
        <v>705</v>
      </c>
      <c r="B3" s="713" t="s">
        <v>15</v>
      </c>
      <c r="C3" s="713" t="s">
        <v>1078</v>
      </c>
      <c r="D3" s="713" t="s">
        <v>1079</v>
      </c>
      <c r="E3" s="713" t="s">
        <v>1377</v>
      </c>
      <c r="F3" s="713" t="s">
        <v>1258</v>
      </c>
      <c r="G3" s="713" t="s">
        <v>1084</v>
      </c>
    </row>
    <row r="4" spans="1:7" ht="15" x14ac:dyDescent="0.2">
      <c r="A4" s="713">
        <v>1</v>
      </c>
      <c r="B4" s="713">
        <v>2</v>
      </c>
      <c r="C4" s="713">
        <v>3</v>
      </c>
      <c r="D4" s="713">
        <v>4</v>
      </c>
      <c r="E4" s="713">
        <v>5</v>
      </c>
      <c r="F4" s="713">
        <v>6</v>
      </c>
      <c r="G4" s="713">
        <v>7</v>
      </c>
    </row>
    <row r="5" spans="1:7" ht="25.5" x14ac:dyDescent="0.2">
      <c r="A5" s="719" t="s">
        <v>1264</v>
      </c>
      <c r="B5" s="720" t="s">
        <v>1378</v>
      </c>
      <c r="C5" s="721">
        <v>340000000</v>
      </c>
      <c r="D5" s="721">
        <v>340000000</v>
      </c>
      <c r="E5" s="721">
        <v>340000000</v>
      </c>
      <c r="F5" s="721">
        <v>0</v>
      </c>
      <c r="G5" s="721">
        <v>340000000</v>
      </c>
    </row>
    <row r="6" spans="1:7" ht="25.5" x14ac:dyDescent="0.2">
      <c r="A6" s="719" t="s">
        <v>1379</v>
      </c>
      <c r="B6" s="720" t="s">
        <v>1380</v>
      </c>
      <c r="C6" s="721">
        <v>340000000</v>
      </c>
      <c r="D6" s="721">
        <v>340000000</v>
      </c>
      <c r="E6" s="721">
        <v>340000000</v>
      </c>
      <c r="F6" s="721">
        <v>0</v>
      </c>
      <c r="G6" s="721">
        <v>340000000</v>
      </c>
    </row>
    <row r="7" spans="1:7" ht="25.5" x14ac:dyDescent="0.2">
      <c r="A7" s="719" t="s">
        <v>1381</v>
      </c>
      <c r="B7" s="720" t="s">
        <v>1382</v>
      </c>
      <c r="C7" s="721">
        <v>55813230</v>
      </c>
      <c r="D7" s="721">
        <v>64777566</v>
      </c>
      <c r="E7" s="721">
        <v>64777566</v>
      </c>
      <c r="F7" s="721">
        <v>0</v>
      </c>
      <c r="G7" s="721">
        <v>64777566</v>
      </c>
    </row>
    <row r="8" spans="1:7" x14ac:dyDescent="0.2">
      <c r="A8" s="719" t="s">
        <v>1383</v>
      </c>
      <c r="B8" s="720" t="s">
        <v>1384</v>
      </c>
      <c r="C8" s="721">
        <v>55813230</v>
      </c>
      <c r="D8" s="721">
        <v>64777566</v>
      </c>
      <c r="E8" s="721">
        <v>64777566</v>
      </c>
      <c r="F8" s="721">
        <v>0</v>
      </c>
      <c r="G8" s="721">
        <v>64777566</v>
      </c>
    </row>
    <row r="9" spans="1:7" ht="25.5" x14ac:dyDescent="0.2">
      <c r="A9" s="719" t="s">
        <v>1101</v>
      </c>
      <c r="B9" s="720" t="s">
        <v>1385</v>
      </c>
      <c r="C9" s="721">
        <v>0</v>
      </c>
      <c r="D9" s="721">
        <v>16407220</v>
      </c>
      <c r="E9" s="721">
        <v>16407220</v>
      </c>
      <c r="F9" s="721">
        <v>0</v>
      </c>
      <c r="G9" s="721">
        <v>16407220</v>
      </c>
    </row>
    <row r="10" spans="1:7" x14ac:dyDescent="0.2">
      <c r="A10" s="719" t="s">
        <v>1105</v>
      </c>
      <c r="B10" s="720" t="s">
        <v>1386</v>
      </c>
      <c r="C10" s="721">
        <v>249881669</v>
      </c>
      <c r="D10" s="721">
        <v>255752448</v>
      </c>
      <c r="E10" s="721">
        <v>255752448</v>
      </c>
      <c r="F10" s="721">
        <v>0</v>
      </c>
      <c r="G10" s="721">
        <v>255752448</v>
      </c>
    </row>
    <row r="11" spans="1:7" ht="25.5" x14ac:dyDescent="0.2">
      <c r="A11" s="719" t="s">
        <v>1117</v>
      </c>
      <c r="B11" s="720" t="s">
        <v>1387</v>
      </c>
      <c r="C11" s="721">
        <v>645694899</v>
      </c>
      <c r="D11" s="721">
        <v>676937234</v>
      </c>
      <c r="E11" s="721">
        <v>676937234</v>
      </c>
      <c r="F11" s="721">
        <v>0</v>
      </c>
      <c r="G11" s="721">
        <v>676937234</v>
      </c>
    </row>
    <row r="12" spans="1:7" ht="25.5" x14ac:dyDescent="0.2">
      <c r="A12" s="722" t="s">
        <v>1133</v>
      </c>
      <c r="B12" s="723" t="s">
        <v>1388</v>
      </c>
      <c r="C12" s="724">
        <v>645694899</v>
      </c>
      <c r="D12" s="724">
        <v>676937234</v>
      </c>
      <c r="E12" s="724">
        <v>676937234</v>
      </c>
      <c r="F12" s="724">
        <v>0</v>
      </c>
      <c r="G12" s="724">
        <v>676937234</v>
      </c>
    </row>
  </sheetData>
  <mergeCells count="2">
    <mergeCell ref="A2:G2"/>
    <mergeCell ref="A1:G1"/>
  </mergeCells>
  <pageMargins left="0.74803149606299213" right="0.74803149606299213" top="0.98425196850393704" bottom="0.98425196850393704" header="0.51181102362204722" footer="0.51181102362204722"/>
  <pageSetup scale="84" orientation="landscape" horizontalDpi="300" verticalDpi="300" r:id="rId1"/>
  <headerFooter alignWithMargins="0">
    <oddHeader xml:space="preserve">&amp;C11/2019. (V.17.) számú költségvetési rendelethez
Zalakaros Város Önkormányzata 2018.évi finanszírozási bevételei
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topLeftCell="A50" zoomScaleNormal="100" workbookViewId="0">
      <selection activeCell="E90" sqref="E90"/>
    </sheetView>
  </sheetViews>
  <sheetFormatPr defaultRowHeight="12.75" x14ac:dyDescent="0.2"/>
  <cols>
    <col min="1" max="1" width="10.7109375" customWidth="1"/>
    <col min="2" max="2" width="41" customWidth="1"/>
    <col min="3" max="3" width="24.7109375" customWidth="1"/>
    <col min="4" max="4" width="24.5703125" customWidth="1"/>
    <col min="5" max="5" width="25.85546875" customWidth="1"/>
    <col min="257" max="257" width="8.140625" customWidth="1"/>
    <col min="258" max="258" width="41" customWidth="1"/>
    <col min="259" max="261" width="32.85546875" customWidth="1"/>
    <col min="513" max="513" width="8.140625" customWidth="1"/>
    <col min="514" max="514" width="41" customWidth="1"/>
    <col min="515" max="517" width="32.85546875" customWidth="1"/>
    <col min="769" max="769" width="8.140625" customWidth="1"/>
    <col min="770" max="770" width="41" customWidth="1"/>
    <col min="771" max="773" width="32.85546875" customWidth="1"/>
    <col min="1025" max="1025" width="8.140625" customWidth="1"/>
    <col min="1026" max="1026" width="41" customWidth="1"/>
    <col min="1027" max="1029" width="32.85546875" customWidth="1"/>
    <col min="1281" max="1281" width="8.140625" customWidth="1"/>
    <col min="1282" max="1282" width="41" customWidth="1"/>
    <col min="1283" max="1285" width="32.85546875" customWidth="1"/>
    <col min="1537" max="1537" width="8.140625" customWidth="1"/>
    <col min="1538" max="1538" width="41" customWidth="1"/>
    <col min="1539" max="1541" width="32.85546875" customWidth="1"/>
    <col min="1793" max="1793" width="8.140625" customWidth="1"/>
    <col min="1794" max="1794" width="41" customWidth="1"/>
    <col min="1795" max="1797" width="32.85546875" customWidth="1"/>
    <col min="2049" max="2049" width="8.140625" customWidth="1"/>
    <col min="2050" max="2050" width="41" customWidth="1"/>
    <col min="2051" max="2053" width="32.85546875" customWidth="1"/>
    <col min="2305" max="2305" width="8.140625" customWidth="1"/>
    <col min="2306" max="2306" width="41" customWidth="1"/>
    <col min="2307" max="2309" width="32.85546875" customWidth="1"/>
    <col min="2561" max="2561" width="8.140625" customWidth="1"/>
    <col min="2562" max="2562" width="41" customWidth="1"/>
    <col min="2563" max="2565" width="32.85546875" customWidth="1"/>
    <col min="2817" max="2817" width="8.140625" customWidth="1"/>
    <col min="2818" max="2818" width="41" customWidth="1"/>
    <col min="2819" max="2821" width="32.85546875" customWidth="1"/>
    <col min="3073" max="3073" width="8.140625" customWidth="1"/>
    <col min="3074" max="3074" width="41" customWidth="1"/>
    <col min="3075" max="3077" width="32.85546875" customWidth="1"/>
    <col min="3329" max="3329" width="8.140625" customWidth="1"/>
    <col min="3330" max="3330" width="41" customWidth="1"/>
    <col min="3331" max="3333" width="32.85546875" customWidth="1"/>
    <col min="3585" max="3585" width="8.140625" customWidth="1"/>
    <col min="3586" max="3586" width="41" customWidth="1"/>
    <col min="3587" max="3589" width="32.85546875" customWidth="1"/>
    <col min="3841" max="3841" width="8.140625" customWidth="1"/>
    <col min="3842" max="3842" width="41" customWidth="1"/>
    <col min="3843" max="3845" width="32.85546875" customWidth="1"/>
    <col min="4097" max="4097" width="8.140625" customWidth="1"/>
    <col min="4098" max="4098" width="41" customWidth="1"/>
    <col min="4099" max="4101" width="32.85546875" customWidth="1"/>
    <col min="4353" max="4353" width="8.140625" customWidth="1"/>
    <col min="4354" max="4354" width="41" customWidth="1"/>
    <col min="4355" max="4357" width="32.85546875" customWidth="1"/>
    <col min="4609" max="4609" width="8.140625" customWidth="1"/>
    <col min="4610" max="4610" width="41" customWidth="1"/>
    <col min="4611" max="4613" width="32.85546875" customWidth="1"/>
    <col min="4865" max="4865" width="8.140625" customWidth="1"/>
    <col min="4866" max="4866" width="41" customWidth="1"/>
    <col min="4867" max="4869" width="32.85546875" customWidth="1"/>
    <col min="5121" max="5121" width="8.140625" customWidth="1"/>
    <col min="5122" max="5122" width="41" customWidth="1"/>
    <col min="5123" max="5125" width="32.85546875" customWidth="1"/>
    <col min="5377" max="5377" width="8.140625" customWidth="1"/>
    <col min="5378" max="5378" width="41" customWidth="1"/>
    <col min="5379" max="5381" width="32.85546875" customWidth="1"/>
    <col min="5633" max="5633" width="8.140625" customWidth="1"/>
    <col min="5634" max="5634" width="41" customWidth="1"/>
    <col min="5635" max="5637" width="32.85546875" customWidth="1"/>
    <col min="5889" max="5889" width="8.140625" customWidth="1"/>
    <col min="5890" max="5890" width="41" customWidth="1"/>
    <col min="5891" max="5893" width="32.85546875" customWidth="1"/>
    <col min="6145" max="6145" width="8.140625" customWidth="1"/>
    <col min="6146" max="6146" width="41" customWidth="1"/>
    <col min="6147" max="6149" width="32.85546875" customWidth="1"/>
    <col min="6401" max="6401" width="8.140625" customWidth="1"/>
    <col min="6402" max="6402" width="41" customWidth="1"/>
    <col min="6403" max="6405" width="32.85546875" customWidth="1"/>
    <col min="6657" max="6657" width="8.140625" customWidth="1"/>
    <col min="6658" max="6658" width="41" customWidth="1"/>
    <col min="6659" max="6661" width="32.85546875" customWidth="1"/>
    <col min="6913" max="6913" width="8.140625" customWidth="1"/>
    <col min="6914" max="6914" width="41" customWidth="1"/>
    <col min="6915" max="6917" width="32.85546875" customWidth="1"/>
    <col min="7169" max="7169" width="8.140625" customWidth="1"/>
    <col min="7170" max="7170" width="41" customWidth="1"/>
    <col min="7171" max="7173" width="32.85546875" customWidth="1"/>
    <col min="7425" max="7425" width="8.140625" customWidth="1"/>
    <col min="7426" max="7426" width="41" customWidth="1"/>
    <col min="7427" max="7429" width="32.85546875" customWidth="1"/>
    <col min="7681" max="7681" width="8.140625" customWidth="1"/>
    <col min="7682" max="7682" width="41" customWidth="1"/>
    <col min="7683" max="7685" width="32.85546875" customWidth="1"/>
    <col min="7937" max="7937" width="8.140625" customWidth="1"/>
    <col min="7938" max="7938" width="41" customWidth="1"/>
    <col min="7939" max="7941" width="32.85546875" customWidth="1"/>
    <col min="8193" max="8193" width="8.140625" customWidth="1"/>
    <col min="8194" max="8194" width="41" customWidth="1"/>
    <col min="8195" max="8197" width="32.85546875" customWidth="1"/>
    <col min="8449" max="8449" width="8.140625" customWidth="1"/>
    <col min="8450" max="8450" width="41" customWidth="1"/>
    <col min="8451" max="8453" width="32.85546875" customWidth="1"/>
    <col min="8705" max="8705" width="8.140625" customWidth="1"/>
    <col min="8706" max="8706" width="41" customWidth="1"/>
    <col min="8707" max="8709" width="32.85546875" customWidth="1"/>
    <col min="8961" max="8961" width="8.140625" customWidth="1"/>
    <col min="8962" max="8962" width="41" customWidth="1"/>
    <col min="8963" max="8965" width="32.85546875" customWidth="1"/>
    <col min="9217" max="9217" width="8.140625" customWidth="1"/>
    <col min="9218" max="9218" width="41" customWidth="1"/>
    <col min="9219" max="9221" width="32.85546875" customWidth="1"/>
    <col min="9473" max="9473" width="8.140625" customWidth="1"/>
    <col min="9474" max="9474" width="41" customWidth="1"/>
    <col min="9475" max="9477" width="32.85546875" customWidth="1"/>
    <col min="9729" max="9729" width="8.140625" customWidth="1"/>
    <col min="9730" max="9730" width="41" customWidth="1"/>
    <col min="9731" max="9733" width="32.85546875" customWidth="1"/>
    <col min="9985" max="9985" width="8.140625" customWidth="1"/>
    <col min="9986" max="9986" width="41" customWidth="1"/>
    <col min="9987" max="9989" width="32.85546875" customWidth="1"/>
    <col min="10241" max="10241" width="8.140625" customWidth="1"/>
    <col min="10242" max="10242" width="41" customWidth="1"/>
    <col min="10243" max="10245" width="32.85546875" customWidth="1"/>
    <col min="10497" max="10497" width="8.140625" customWidth="1"/>
    <col min="10498" max="10498" width="41" customWidth="1"/>
    <col min="10499" max="10501" width="32.85546875" customWidth="1"/>
    <col min="10753" max="10753" width="8.140625" customWidth="1"/>
    <col min="10754" max="10754" width="41" customWidth="1"/>
    <col min="10755" max="10757" width="32.85546875" customWidth="1"/>
    <col min="11009" max="11009" width="8.140625" customWidth="1"/>
    <col min="11010" max="11010" width="41" customWidth="1"/>
    <col min="11011" max="11013" width="32.85546875" customWidth="1"/>
    <col min="11265" max="11265" width="8.140625" customWidth="1"/>
    <col min="11266" max="11266" width="41" customWidth="1"/>
    <col min="11267" max="11269" width="32.85546875" customWidth="1"/>
    <col min="11521" max="11521" width="8.140625" customWidth="1"/>
    <col min="11522" max="11522" width="41" customWidth="1"/>
    <col min="11523" max="11525" width="32.85546875" customWidth="1"/>
    <col min="11777" max="11777" width="8.140625" customWidth="1"/>
    <col min="11778" max="11778" width="41" customWidth="1"/>
    <col min="11779" max="11781" width="32.85546875" customWidth="1"/>
    <col min="12033" max="12033" width="8.140625" customWidth="1"/>
    <col min="12034" max="12034" width="41" customWidth="1"/>
    <col min="12035" max="12037" width="32.85546875" customWidth="1"/>
    <col min="12289" max="12289" width="8.140625" customWidth="1"/>
    <col min="12290" max="12290" width="41" customWidth="1"/>
    <col min="12291" max="12293" width="32.85546875" customWidth="1"/>
    <col min="12545" max="12545" width="8.140625" customWidth="1"/>
    <col min="12546" max="12546" width="41" customWidth="1"/>
    <col min="12547" max="12549" width="32.85546875" customWidth="1"/>
    <col min="12801" max="12801" width="8.140625" customWidth="1"/>
    <col min="12802" max="12802" width="41" customWidth="1"/>
    <col min="12803" max="12805" width="32.85546875" customWidth="1"/>
    <col min="13057" max="13057" width="8.140625" customWidth="1"/>
    <col min="13058" max="13058" width="41" customWidth="1"/>
    <col min="13059" max="13061" width="32.85546875" customWidth="1"/>
    <col min="13313" max="13313" width="8.140625" customWidth="1"/>
    <col min="13314" max="13314" width="41" customWidth="1"/>
    <col min="13315" max="13317" width="32.85546875" customWidth="1"/>
    <col min="13569" max="13569" width="8.140625" customWidth="1"/>
    <col min="13570" max="13570" width="41" customWidth="1"/>
    <col min="13571" max="13573" width="32.85546875" customWidth="1"/>
    <col min="13825" max="13825" width="8.140625" customWidth="1"/>
    <col min="13826" max="13826" width="41" customWidth="1"/>
    <col min="13827" max="13829" width="32.85546875" customWidth="1"/>
    <col min="14081" max="14081" width="8.140625" customWidth="1"/>
    <col min="14082" max="14082" width="41" customWidth="1"/>
    <col min="14083" max="14085" width="32.85546875" customWidth="1"/>
    <col min="14337" max="14337" width="8.140625" customWidth="1"/>
    <col min="14338" max="14338" width="41" customWidth="1"/>
    <col min="14339" max="14341" width="32.85546875" customWidth="1"/>
    <col min="14593" max="14593" width="8.140625" customWidth="1"/>
    <col min="14594" max="14594" width="41" customWidth="1"/>
    <col min="14595" max="14597" width="32.85546875" customWidth="1"/>
    <col min="14849" max="14849" width="8.140625" customWidth="1"/>
    <col min="14850" max="14850" width="41" customWidth="1"/>
    <col min="14851" max="14853" width="32.85546875" customWidth="1"/>
    <col min="15105" max="15105" width="8.140625" customWidth="1"/>
    <col min="15106" max="15106" width="41" customWidth="1"/>
    <col min="15107" max="15109" width="32.85546875" customWidth="1"/>
    <col min="15361" max="15361" width="8.140625" customWidth="1"/>
    <col min="15362" max="15362" width="41" customWidth="1"/>
    <col min="15363" max="15365" width="32.85546875" customWidth="1"/>
    <col min="15617" max="15617" width="8.140625" customWidth="1"/>
    <col min="15618" max="15618" width="41" customWidth="1"/>
    <col min="15619" max="15621" width="32.85546875" customWidth="1"/>
    <col min="15873" max="15873" width="8.140625" customWidth="1"/>
    <col min="15874" max="15874" width="41" customWidth="1"/>
    <col min="15875" max="15877" width="32.85546875" customWidth="1"/>
    <col min="16129" max="16129" width="8.140625" customWidth="1"/>
    <col min="16130" max="16130" width="41" customWidth="1"/>
    <col min="16131" max="16133" width="32.85546875" customWidth="1"/>
  </cols>
  <sheetData>
    <row r="1" spans="1:5" s="707" customFormat="1" x14ac:dyDescent="0.2">
      <c r="A1" s="1057" t="s">
        <v>1401</v>
      </c>
      <c r="B1" s="1058"/>
      <c r="C1" s="1058"/>
      <c r="D1" s="1058"/>
      <c r="E1" s="1058"/>
    </row>
    <row r="2" spans="1:5" ht="15" x14ac:dyDescent="0.2">
      <c r="A2" s="1057"/>
      <c r="B2" s="1058"/>
      <c r="C2" s="1058"/>
      <c r="D2" s="1058"/>
      <c r="E2" s="1058"/>
    </row>
    <row r="3" spans="1:5" ht="15" x14ac:dyDescent="0.2">
      <c r="A3" s="713" t="s">
        <v>0</v>
      </c>
      <c r="B3" s="713" t="s">
        <v>15</v>
      </c>
      <c r="C3" s="713" t="s">
        <v>1402</v>
      </c>
      <c r="D3" s="713" t="s">
        <v>1403</v>
      </c>
      <c r="E3" s="713" t="s">
        <v>1404</v>
      </c>
    </row>
    <row r="4" spans="1:5" ht="15" x14ac:dyDescent="0.2">
      <c r="A4" s="713">
        <v>1</v>
      </c>
      <c r="B4" s="713">
        <v>2</v>
      </c>
      <c r="C4" s="713">
        <v>3</v>
      </c>
      <c r="D4" s="713">
        <v>4</v>
      </c>
      <c r="E4" s="713">
        <v>5</v>
      </c>
    </row>
    <row r="5" spans="1:5" x14ac:dyDescent="0.2">
      <c r="A5" s="719" t="s">
        <v>1085</v>
      </c>
      <c r="B5" s="720" t="s">
        <v>1405</v>
      </c>
      <c r="C5" s="721">
        <v>362895</v>
      </c>
      <c r="D5" s="721">
        <v>0</v>
      </c>
      <c r="E5" s="721">
        <v>1070200</v>
      </c>
    </row>
    <row r="6" spans="1:5" x14ac:dyDescent="0.2">
      <c r="A6" s="719" t="s">
        <v>1087</v>
      </c>
      <c r="B6" s="720" t="s">
        <v>1406</v>
      </c>
      <c r="C6" s="721">
        <v>4437481</v>
      </c>
      <c r="D6" s="721">
        <v>0</v>
      </c>
      <c r="E6" s="721">
        <v>2283853</v>
      </c>
    </row>
    <row r="7" spans="1:5" x14ac:dyDescent="0.2">
      <c r="A7" s="722" t="s">
        <v>1089</v>
      </c>
      <c r="B7" s="723" t="s">
        <v>1407</v>
      </c>
      <c r="C7" s="724">
        <v>4800376</v>
      </c>
      <c r="D7" s="724">
        <v>0</v>
      </c>
      <c r="E7" s="724">
        <v>3354053</v>
      </c>
    </row>
    <row r="8" spans="1:5" ht="25.5" x14ac:dyDescent="0.2">
      <c r="A8" s="719" t="s">
        <v>1264</v>
      </c>
      <c r="B8" s="720" t="s">
        <v>1408</v>
      </c>
      <c r="C8" s="721">
        <v>4254001975</v>
      </c>
      <c r="D8" s="721">
        <v>0</v>
      </c>
      <c r="E8" s="721">
        <v>4180117992</v>
      </c>
    </row>
    <row r="9" spans="1:5" ht="25.5" x14ac:dyDescent="0.2">
      <c r="A9" s="719" t="s">
        <v>1091</v>
      </c>
      <c r="B9" s="720" t="s">
        <v>1409</v>
      </c>
      <c r="C9" s="721">
        <v>97664942</v>
      </c>
      <c r="D9" s="721">
        <v>0</v>
      </c>
      <c r="E9" s="721">
        <v>83653627</v>
      </c>
    </row>
    <row r="10" spans="1:5" x14ac:dyDescent="0.2">
      <c r="A10" s="719" t="s">
        <v>1268</v>
      </c>
      <c r="B10" s="720" t="s">
        <v>1410</v>
      </c>
      <c r="C10" s="721">
        <v>24998231</v>
      </c>
      <c r="D10" s="721">
        <v>0</v>
      </c>
      <c r="E10" s="721">
        <v>262694260</v>
      </c>
    </row>
    <row r="11" spans="1:5" x14ac:dyDescent="0.2">
      <c r="A11" s="722" t="s">
        <v>1097</v>
      </c>
      <c r="B11" s="723" t="s">
        <v>1411</v>
      </c>
      <c r="C11" s="724">
        <v>4376665148</v>
      </c>
      <c r="D11" s="724">
        <v>0</v>
      </c>
      <c r="E11" s="724">
        <v>4526465879</v>
      </c>
    </row>
    <row r="12" spans="1:5" ht="25.5" x14ac:dyDescent="0.2">
      <c r="A12" s="719" t="s">
        <v>1379</v>
      </c>
      <c r="B12" s="720" t="s">
        <v>1412</v>
      </c>
      <c r="C12" s="721">
        <v>842460000</v>
      </c>
      <c r="D12" s="721">
        <v>0</v>
      </c>
      <c r="E12" s="721">
        <v>842460000</v>
      </c>
    </row>
    <row r="13" spans="1:5" ht="25.5" x14ac:dyDescent="0.2">
      <c r="A13" s="719" t="s">
        <v>1099</v>
      </c>
      <c r="B13" s="720" t="s">
        <v>1413</v>
      </c>
      <c r="C13" s="721">
        <v>840930000</v>
      </c>
      <c r="D13" s="721">
        <v>0</v>
      </c>
      <c r="E13" s="721">
        <v>840930000</v>
      </c>
    </row>
    <row r="14" spans="1:5" x14ac:dyDescent="0.2">
      <c r="A14" s="719" t="s">
        <v>1103</v>
      </c>
      <c r="B14" s="720" t="s">
        <v>1414</v>
      </c>
      <c r="C14" s="721">
        <v>1530000</v>
      </c>
      <c r="D14" s="721">
        <v>0</v>
      </c>
      <c r="E14" s="721">
        <v>1530000</v>
      </c>
    </row>
    <row r="15" spans="1:5" ht="25.5" x14ac:dyDescent="0.2">
      <c r="A15" s="722" t="s">
        <v>1113</v>
      </c>
      <c r="B15" s="723" t="s">
        <v>1415</v>
      </c>
      <c r="C15" s="724">
        <v>842460000</v>
      </c>
      <c r="D15" s="724">
        <v>0</v>
      </c>
      <c r="E15" s="724">
        <v>842460000</v>
      </c>
    </row>
    <row r="16" spans="1:5" ht="38.25" x14ac:dyDescent="0.2">
      <c r="A16" s="722" t="s">
        <v>1127</v>
      </c>
      <c r="B16" s="723" t="s">
        <v>1416</v>
      </c>
      <c r="C16" s="724">
        <v>5223925524</v>
      </c>
      <c r="D16" s="724">
        <v>0</v>
      </c>
      <c r="E16" s="724">
        <v>5372279932</v>
      </c>
    </row>
    <row r="17" spans="1:5" x14ac:dyDescent="0.2">
      <c r="A17" s="719" t="s">
        <v>1129</v>
      </c>
      <c r="B17" s="720" t="s">
        <v>1417</v>
      </c>
      <c r="C17" s="721">
        <v>1964608</v>
      </c>
      <c r="D17" s="721">
        <v>0</v>
      </c>
      <c r="E17" s="721">
        <v>2209952</v>
      </c>
    </row>
    <row r="18" spans="1:5" x14ac:dyDescent="0.2">
      <c r="A18" s="722" t="s">
        <v>1137</v>
      </c>
      <c r="B18" s="723" t="s">
        <v>1418</v>
      </c>
      <c r="C18" s="724">
        <v>1964608</v>
      </c>
      <c r="D18" s="724">
        <v>0</v>
      </c>
      <c r="E18" s="724">
        <v>2209952</v>
      </c>
    </row>
    <row r="19" spans="1:5" ht="25.5" x14ac:dyDescent="0.2">
      <c r="A19" s="719" t="s">
        <v>1141</v>
      </c>
      <c r="B19" s="720" t="s">
        <v>1419</v>
      </c>
      <c r="C19" s="721">
        <v>240000000</v>
      </c>
      <c r="D19" s="721">
        <v>0</v>
      </c>
      <c r="E19" s="721">
        <v>0</v>
      </c>
    </row>
    <row r="20" spans="1:5" x14ac:dyDescent="0.2">
      <c r="A20" s="719" t="s">
        <v>1275</v>
      </c>
      <c r="B20" s="720" t="s">
        <v>1420</v>
      </c>
      <c r="C20" s="721">
        <v>240000000</v>
      </c>
      <c r="D20" s="721">
        <v>0</v>
      </c>
      <c r="E20" s="721">
        <v>0</v>
      </c>
    </row>
    <row r="21" spans="1:5" x14ac:dyDescent="0.2">
      <c r="A21" s="722" t="s">
        <v>1151</v>
      </c>
      <c r="B21" s="723" t="s">
        <v>1421</v>
      </c>
      <c r="C21" s="724">
        <v>240000000</v>
      </c>
      <c r="D21" s="724">
        <v>0</v>
      </c>
      <c r="E21" s="724">
        <v>0</v>
      </c>
    </row>
    <row r="22" spans="1:5" ht="25.5" x14ac:dyDescent="0.2">
      <c r="A22" s="722" t="s">
        <v>1153</v>
      </c>
      <c r="B22" s="723" t="s">
        <v>1422</v>
      </c>
      <c r="C22" s="724">
        <v>241964608</v>
      </c>
      <c r="D22" s="724">
        <v>0</v>
      </c>
      <c r="E22" s="724">
        <v>2209952</v>
      </c>
    </row>
    <row r="23" spans="1:5" x14ac:dyDescent="0.2">
      <c r="A23" s="719" t="s">
        <v>1161</v>
      </c>
      <c r="B23" s="720" t="s">
        <v>1423</v>
      </c>
      <c r="C23" s="721">
        <v>547460</v>
      </c>
      <c r="D23" s="721">
        <v>0</v>
      </c>
      <c r="E23" s="721">
        <v>528320</v>
      </c>
    </row>
    <row r="24" spans="1:5" x14ac:dyDescent="0.2">
      <c r="A24" s="719" t="s">
        <v>1163</v>
      </c>
      <c r="B24" s="720" t="s">
        <v>1424</v>
      </c>
      <c r="C24" s="721">
        <v>3092</v>
      </c>
      <c r="D24" s="721">
        <v>0</v>
      </c>
      <c r="E24" s="721">
        <v>0</v>
      </c>
    </row>
    <row r="25" spans="1:5" ht="25.5" x14ac:dyDescent="0.2">
      <c r="A25" s="722" t="s">
        <v>1167</v>
      </c>
      <c r="B25" s="723" t="s">
        <v>1425</v>
      </c>
      <c r="C25" s="724">
        <v>550552</v>
      </c>
      <c r="D25" s="724">
        <v>0</v>
      </c>
      <c r="E25" s="724">
        <v>528320</v>
      </c>
    </row>
    <row r="26" spans="1:5" x14ac:dyDescent="0.2">
      <c r="A26" s="719" t="s">
        <v>1169</v>
      </c>
      <c r="B26" s="720" t="s">
        <v>1426</v>
      </c>
      <c r="C26" s="721">
        <v>71281821</v>
      </c>
      <c r="D26" s="721">
        <v>0</v>
      </c>
      <c r="E26" s="721">
        <v>549774010</v>
      </c>
    </row>
    <row r="27" spans="1:5" x14ac:dyDescent="0.2">
      <c r="A27" s="719" t="s">
        <v>1427</v>
      </c>
      <c r="B27" s="720" t="s">
        <v>1428</v>
      </c>
      <c r="C27" s="721">
        <v>0</v>
      </c>
      <c r="D27" s="721">
        <v>0</v>
      </c>
      <c r="E27" s="721">
        <v>463815722</v>
      </c>
    </row>
    <row r="28" spans="1:5" x14ac:dyDescent="0.2">
      <c r="A28" s="722" t="s">
        <v>1429</v>
      </c>
      <c r="B28" s="723" t="s">
        <v>1430</v>
      </c>
      <c r="C28" s="724">
        <v>71281821</v>
      </c>
      <c r="D28" s="724">
        <v>0</v>
      </c>
      <c r="E28" s="724">
        <v>1013589732</v>
      </c>
    </row>
    <row r="29" spans="1:5" x14ac:dyDescent="0.2">
      <c r="A29" s="722" t="s">
        <v>1431</v>
      </c>
      <c r="B29" s="723" t="s">
        <v>1432</v>
      </c>
      <c r="C29" s="724">
        <v>71832373</v>
      </c>
      <c r="D29" s="724">
        <v>0</v>
      </c>
      <c r="E29" s="724">
        <v>1014118052</v>
      </c>
    </row>
    <row r="30" spans="1:5" ht="38.25" x14ac:dyDescent="0.2">
      <c r="A30" s="719" t="s">
        <v>1181</v>
      </c>
      <c r="B30" s="720" t="s">
        <v>1433</v>
      </c>
      <c r="C30" s="721">
        <v>13206164</v>
      </c>
      <c r="D30" s="721">
        <v>0</v>
      </c>
      <c r="E30" s="721">
        <v>14835927</v>
      </c>
    </row>
    <row r="31" spans="1:5" ht="25.5" x14ac:dyDescent="0.2">
      <c r="A31" s="719" t="s">
        <v>1434</v>
      </c>
      <c r="B31" s="720" t="s">
        <v>1435</v>
      </c>
      <c r="C31" s="721">
        <v>5391371</v>
      </c>
      <c r="D31" s="721">
        <v>0</v>
      </c>
      <c r="E31" s="721">
        <v>4922914</v>
      </c>
    </row>
    <row r="32" spans="1:5" ht="25.5" x14ac:dyDescent="0.2">
      <c r="A32" s="719" t="s">
        <v>1436</v>
      </c>
      <c r="B32" s="720" t="s">
        <v>1437</v>
      </c>
      <c r="C32" s="721">
        <v>6179872</v>
      </c>
      <c r="D32" s="721">
        <v>0</v>
      </c>
      <c r="E32" s="721">
        <v>8798587</v>
      </c>
    </row>
    <row r="33" spans="1:5" ht="25.5" x14ac:dyDescent="0.2">
      <c r="A33" s="719" t="s">
        <v>1280</v>
      </c>
      <c r="B33" s="720" t="s">
        <v>1438</v>
      </c>
      <c r="C33" s="721">
        <v>1634921</v>
      </c>
      <c r="D33" s="721">
        <v>0</v>
      </c>
      <c r="E33" s="721">
        <v>1114426</v>
      </c>
    </row>
    <row r="34" spans="1:5" ht="38.25" x14ac:dyDescent="0.2">
      <c r="A34" s="719" t="s">
        <v>1439</v>
      </c>
      <c r="B34" s="720" t="s">
        <v>1440</v>
      </c>
      <c r="C34" s="721">
        <v>2146873</v>
      </c>
      <c r="D34" s="721">
        <v>0</v>
      </c>
      <c r="E34" s="721">
        <v>951670</v>
      </c>
    </row>
    <row r="35" spans="1:5" ht="51" x14ac:dyDescent="0.2">
      <c r="A35" s="719" t="s">
        <v>1441</v>
      </c>
      <c r="B35" s="720" t="s">
        <v>1442</v>
      </c>
      <c r="C35" s="721">
        <v>1776145</v>
      </c>
      <c r="D35" s="721">
        <v>0</v>
      </c>
      <c r="E35" s="721">
        <v>756889</v>
      </c>
    </row>
    <row r="36" spans="1:5" ht="25.5" x14ac:dyDescent="0.2">
      <c r="A36" s="719" t="s">
        <v>1183</v>
      </c>
      <c r="B36" s="720" t="s">
        <v>1443</v>
      </c>
      <c r="C36" s="721">
        <v>0</v>
      </c>
      <c r="D36" s="721">
        <v>0</v>
      </c>
      <c r="E36" s="721">
        <v>12000</v>
      </c>
    </row>
    <row r="37" spans="1:5" ht="38.25" x14ac:dyDescent="0.2">
      <c r="A37" s="719" t="s">
        <v>1444</v>
      </c>
      <c r="B37" s="720" t="s">
        <v>1445</v>
      </c>
      <c r="C37" s="721">
        <v>370728</v>
      </c>
      <c r="D37" s="721">
        <v>0</v>
      </c>
      <c r="E37" s="721">
        <v>182781</v>
      </c>
    </row>
    <row r="38" spans="1:5" ht="38.25" x14ac:dyDescent="0.2">
      <c r="A38" s="719" t="s">
        <v>1446</v>
      </c>
      <c r="B38" s="720" t="s">
        <v>1447</v>
      </c>
      <c r="C38" s="721">
        <v>1642171</v>
      </c>
      <c r="D38" s="721">
        <v>0</v>
      </c>
      <c r="E38" s="721">
        <v>868555</v>
      </c>
    </row>
    <row r="39" spans="1:5" ht="51" x14ac:dyDescent="0.2">
      <c r="A39" s="719" t="s">
        <v>1448</v>
      </c>
      <c r="B39" s="720" t="s">
        <v>1449</v>
      </c>
      <c r="C39" s="721">
        <v>1642171</v>
      </c>
      <c r="D39" s="721">
        <v>0</v>
      </c>
      <c r="E39" s="721">
        <v>868555</v>
      </c>
    </row>
    <row r="40" spans="1:5" ht="38.25" x14ac:dyDescent="0.2">
      <c r="A40" s="719" t="s">
        <v>1450</v>
      </c>
      <c r="B40" s="720" t="s">
        <v>1451</v>
      </c>
      <c r="C40" s="721">
        <v>3270656</v>
      </c>
      <c r="D40" s="721">
        <v>0</v>
      </c>
      <c r="E40" s="721">
        <v>5772978</v>
      </c>
    </row>
    <row r="41" spans="1:5" ht="51" x14ac:dyDescent="0.2">
      <c r="A41" s="719" t="s">
        <v>1452</v>
      </c>
      <c r="B41" s="720" t="s">
        <v>1453</v>
      </c>
      <c r="C41" s="721">
        <v>2945723</v>
      </c>
      <c r="D41" s="721">
        <v>0</v>
      </c>
      <c r="E41" s="721">
        <v>2595940</v>
      </c>
    </row>
    <row r="42" spans="1:5" ht="25.5" x14ac:dyDescent="0.2">
      <c r="A42" s="722" t="s">
        <v>1454</v>
      </c>
      <c r="B42" s="723" t="s">
        <v>1455</v>
      </c>
      <c r="C42" s="724">
        <v>20265864</v>
      </c>
      <c r="D42" s="724">
        <v>0</v>
      </c>
      <c r="E42" s="724">
        <v>22429130</v>
      </c>
    </row>
    <row r="43" spans="1:5" ht="38.25" x14ac:dyDescent="0.2">
      <c r="A43" s="719" t="s">
        <v>1456</v>
      </c>
      <c r="B43" s="720" t="s">
        <v>1457</v>
      </c>
      <c r="C43" s="721">
        <v>15370500</v>
      </c>
      <c r="D43" s="721">
        <v>0</v>
      </c>
      <c r="E43" s="721">
        <v>15114000</v>
      </c>
    </row>
    <row r="44" spans="1:5" ht="51" x14ac:dyDescent="0.2">
      <c r="A44" s="719" t="s">
        <v>1458</v>
      </c>
      <c r="B44" s="720" t="s">
        <v>1459</v>
      </c>
      <c r="C44" s="721">
        <v>15370500</v>
      </c>
      <c r="D44" s="721">
        <v>0</v>
      </c>
      <c r="E44" s="721">
        <v>15114000</v>
      </c>
    </row>
    <row r="45" spans="1:5" ht="38.25" x14ac:dyDescent="0.2">
      <c r="A45" s="719" t="s">
        <v>1460</v>
      </c>
      <c r="B45" s="720" t="s">
        <v>1461</v>
      </c>
      <c r="C45" s="721">
        <v>2889000</v>
      </c>
      <c r="D45" s="721">
        <v>0</v>
      </c>
      <c r="E45" s="721">
        <v>2700416</v>
      </c>
    </row>
    <row r="46" spans="1:5" ht="51" x14ac:dyDescent="0.2">
      <c r="A46" s="719" t="s">
        <v>1462</v>
      </c>
      <c r="B46" s="720" t="s">
        <v>1463</v>
      </c>
      <c r="C46" s="721">
        <v>2450778</v>
      </c>
      <c r="D46" s="721">
        <v>0</v>
      </c>
      <c r="E46" s="721">
        <v>2670416</v>
      </c>
    </row>
    <row r="47" spans="1:5" ht="25.5" x14ac:dyDescent="0.2">
      <c r="A47" s="722" t="s">
        <v>1464</v>
      </c>
      <c r="B47" s="723" t="s">
        <v>1465</v>
      </c>
      <c r="C47" s="724">
        <v>18259500</v>
      </c>
      <c r="D47" s="724">
        <v>0</v>
      </c>
      <c r="E47" s="724">
        <v>17814416</v>
      </c>
    </row>
    <row r="48" spans="1:5" x14ac:dyDescent="0.2">
      <c r="A48" s="719" t="s">
        <v>1466</v>
      </c>
      <c r="B48" s="720" t="s">
        <v>1467</v>
      </c>
      <c r="C48" s="721">
        <v>774734</v>
      </c>
      <c r="D48" s="721">
        <v>0</v>
      </c>
      <c r="E48" s="721">
        <v>564535</v>
      </c>
    </row>
    <row r="49" spans="1:5" ht="25.5" x14ac:dyDescent="0.2">
      <c r="A49" s="719" t="s">
        <v>1468</v>
      </c>
      <c r="B49" s="720" t="s">
        <v>1469</v>
      </c>
      <c r="C49" s="721">
        <v>0</v>
      </c>
      <c r="D49" s="721">
        <v>0</v>
      </c>
      <c r="E49" s="721">
        <v>135000</v>
      </c>
    </row>
    <row r="50" spans="1:5" ht="25.5" x14ac:dyDescent="0.2">
      <c r="A50" s="719" t="s">
        <v>1470</v>
      </c>
      <c r="B50" s="720" t="s">
        <v>1471</v>
      </c>
      <c r="C50" s="721">
        <v>119892</v>
      </c>
      <c r="D50" s="721">
        <v>0</v>
      </c>
      <c r="E50" s="721">
        <v>429535</v>
      </c>
    </row>
    <row r="51" spans="1:5" ht="25.5" x14ac:dyDescent="0.2">
      <c r="A51" s="719" t="s">
        <v>1197</v>
      </c>
      <c r="B51" s="720" t="s">
        <v>1472</v>
      </c>
      <c r="C51" s="721">
        <v>654842</v>
      </c>
      <c r="D51" s="721">
        <v>0</v>
      </c>
      <c r="E51" s="721">
        <v>0</v>
      </c>
    </row>
    <row r="52" spans="1:5" x14ac:dyDescent="0.2">
      <c r="A52" s="719" t="s">
        <v>1473</v>
      </c>
      <c r="B52" s="720" t="s">
        <v>931</v>
      </c>
      <c r="C52" s="721">
        <v>440000</v>
      </c>
      <c r="D52" s="721">
        <v>0</v>
      </c>
      <c r="E52" s="721">
        <v>327000</v>
      </c>
    </row>
    <row r="53" spans="1:5" ht="25.5" x14ac:dyDescent="0.2">
      <c r="A53" s="722" t="s">
        <v>1474</v>
      </c>
      <c r="B53" s="723" t="s">
        <v>1475</v>
      </c>
      <c r="C53" s="724">
        <v>1214734</v>
      </c>
      <c r="D53" s="724">
        <v>0</v>
      </c>
      <c r="E53" s="724">
        <v>891535</v>
      </c>
    </row>
    <row r="54" spans="1:5" x14ac:dyDescent="0.2">
      <c r="A54" s="722" t="s">
        <v>1476</v>
      </c>
      <c r="B54" s="723" t="s">
        <v>1477</v>
      </c>
      <c r="C54" s="724">
        <v>39740098</v>
      </c>
      <c r="D54" s="724">
        <v>0</v>
      </c>
      <c r="E54" s="724">
        <v>41135081</v>
      </c>
    </row>
    <row r="55" spans="1:5" ht="25.5" x14ac:dyDescent="0.2">
      <c r="A55" s="719" t="s">
        <v>1205</v>
      </c>
      <c r="B55" s="720" t="s">
        <v>1478</v>
      </c>
      <c r="C55" s="721">
        <v>7377316</v>
      </c>
      <c r="D55" s="721">
        <v>0</v>
      </c>
      <c r="E55" s="721">
        <v>2002329</v>
      </c>
    </row>
    <row r="56" spans="1:5" ht="38.25" x14ac:dyDescent="0.2">
      <c r="A56" s="719" t="s">
        <v>1479</v>
      </c>
      <c r="B56" s="720" t="s">
        <v>1480</v>
      </c>
      <c r="C56" s="721">
        <v>0</v>
      </c>
      <c r="D56" s="721">
        <v>0</v>
      </c>
      <c r="E56" s="721">
        <v>36450</v>
      </c>
    </row>
    <row r="57" spans="1:5" ht="25.5" x14ac:dyDescent="0.2">
      <c r="A57" s="722" t="s">
        <v>1481</v>
      </c>
      <c r="B57" s="723" t="s">
        <v>1482</v>
      </c>
      <c r="C57" s="724">
        <v>7377316</v>
      </c>
      <c r="D57" s="724">
        <v>0</v>
      </c>
      <c r="E57" s="724">
        <v>2038779</v>
      </c>
    </row>
    <row r="58" spans="1:5" x14ac:dyDescent="0.2">
      <c r="A58" s="719" t="s">
        <v>1483</v>
      </c>
      <c r="B58" s="720" t="s">
        <v>1484</v>
      </c>
      <c r="C58" s="721">
        <v>-8671316</v>
      </c>
      <c r="D58" s="721">
        <v>0</v>
      </c>
      <c r="E58" s="721">
        <v>-15756037</v>
      </c>
    </row>
    <row r="59" spans="1:5" ht="25.5" x14ac:dyDescent="0.2">
      <c r="A59" s="722" t="s">
        <v>1302</v>
      </c>
      <c r="B59" s="723" t="s">
        <v>1485</v>
      </c>
      <c r="C59" s="724">
        <v>-8671316</v>
      </c>
      <c r="D59" s="724">
        <v>0</v>
      </c>
      <c r="E59" s="724">
        <v>-15756037</v>
      </c>
    </row>
    <row r="60" spans="1:5" ht="38.25" x14ac:dyDescent="0.2">
      <c r="A60" s="719" t="s">
        <v>1486</v>
      </c>
      <c r="B60" s="720" t="s">
        <v>1487</v>
      </c>
      <c r="C60" s="721">
        <v>50000</v>
      </c>
      <c r="D60" s="721">
        <v>0</v>
      </c>
      <c r="E60" s="721">
        <v>0</v>
      </c>
    </row>
    <row r="61" spans="1:5" ht="25.5" x14ac:dyDescent="0.2">
      <c r="A61" s="722" t="s">
        <v>1488</v>
      </c>
      <c r="B61" s="723" t="s">
        <v>1489</v>
      </c>
      <c r="C61" s="724">
        <v>50000</v>
      </c>
      <c r="D61" s="724">
        <v>0</v>
      </c>
      <c r="E61" s="724">
        <v>0</v>
      </c>
    </row>
    <row r="62" spans="1:5" ht="25.5" x14ac:dyDescent="0.2">
      <c r="A62" s="722" t="s">
        <v>1490</v>
      </c>
      <c r="B62" s="723" t="s">
        <v>1491</v>
      </c>
      <c r="C62" s="724">
        <v>-1244000</v>
      </c>
      <c r="D62" s="724">
        <v>0</v>
      </c>
      <c r="E62" s="724">
        <v>-13717258</v>
      </c>
    </row>
    <row r="63" spans="1:5" ht="25.5" x14ac:dyDescent="0.2">
      <c r="A63" s="719" t="s">
        <v>1492</v>
      </c>
      <c r="B63" s="720" t="s">
        <v>1493</v>
      </c>
      <c r="C63" s="721">
        <v>160208</v>
      </c>
      <c r="D63" s="721">
        <v>0</v>
      </c>
      <c r="E63" s="721">
        <v>361165</v>
      </c>
    </row>
    <row r="64" spans="1:5" ht="25.5" x14ac:dyDescent="0.2">
      <c r="A64" s="722" t="s">
        <v>1306</v>
      </c>
      <c r="B64" s="723" t="s">
        <v>1494</v>
      </c>
      <c r="C64" s="724">
        <v>160208</v>
      </c>
      <c r="D64" s="724">
        <v>0</v>
      </c>
      <c r="E64" s="724">
        <v>361165</v>
      </c>
    </row>
    <row r="65" spans="1:5" x14ac:dyDescent="0.2">
      <c r="A65" s="722" t="s">
        <v>1209</v>
      </c>
      <c r="B65" s="723" t="s">
        <v>1495</v>
      </c>
      <c r="C65" s="724">
        <v>5576378811</v>
      </c>
      <c r="D65" s="724">
        <v>0</v>
      </c>
      <c r="E65" s="724">
        <v>6416386924</v>
      </c>
    </row>
    <row r="66" spans="1:5" x14ac:dyDescent="0.2">
      <c r="A66" s="719" t="s">
        <v>1496</v>
      </c>
      <c r="B66" s="720" t="s">
        <v>939</v>
      </c>
      <c r="C66" s="721">
        <v>6536639379</v>
      </c>
      <c r="D66" s="721">
        <v>0</v>
      </c>
      <c r="E66" s="721">
        <v>6536639379</v>
      </c>
    </row>
    <row r="67" spans="1:5" x14ac:dyDescent="0.2">
      <c r="A67" s="719" t="s">
        <v>1497</v>
      </c>
      <c r="B67" s="720" t="s">
        <v>1498</v>
      </c>
      <c r="C67" s="721">
        <v>-256707851</v>
      </c>
      <c r="D67" s="721">
        <v>0</v>
      </c>
      <c r="E67" s="721">
        <v>-227486567</v>
      </c>
    </row>
    <row r="68" spans="1:5" ht="25.5" x14ac:dyDescent="0.2">
      <c r="A68" s="719" t="s">
        <v>1211</v>
      </c>
      <c r="B68" s="720" t="s">
        <v>941</v>
      </c>
      <c r="C68" s="721">
        <v>83555659</v>
      </c>
      <c r="D68" s="721">
        <v>0</v>
      </c>
      <c r="E68" s="721">
        <v>83555659</v>
      </c>
    </row>
    <row r="69" spans="1:5" x14ac:dyDescent="0.2">
      <c r="A69" s="719" t="s">
        <v>1499</v>
      </c>
      <c r="B69" s="720" t="s">
        <v>1500</v>
      </c>
      <c r="C69" s="721">
        <v>-1457222511</v>
      </c>
      <c r="D69" s="721">
        <v>0</v>
      </c>
      <c r="E69" s="721">
        <v>-1498824083</v>
      </c>
    </row>
    <row r="70" spans="1:5" x14ac:dyDescent="0.2">
      <c r="A70" s="719" t="s">
        <v>1501</v>
      </c>
      <c r="B70" s="720" t="s">
        <v>1502</v>
      </c>
      <c r="C70" s="721">
        <v>-41601572</v>
      </c>
      <c r="D70" s="721">
        <v>0</v>
      </c>
      <c r="E70" s="721">
        <v>109144284</v>
      </c>
    </row>
    <row r="71" spans="1:5" x14ac:dyDescent="0.2">
      <c r="A71" s="722" t="s">
        <v>1215</v>
      </c>
      <c r="B71" s="723" t="s">
        <v>1503</v>
      </c>
      <c r="C71" s="724">
        <v>4864663104</v>
      </c>
      <c r="D71" s="724">
        <v>0</v>
      </c>
      <c r="E71" s="724">
        <v>5003028672</v>
      </c>
    </row>
    <row r="72" spans="1:5" ht="25.5" x14ac:dyDescent="0.2">
      <c r="A72" s="719" t="s">
        <v>1310</v>
      </c>
      <c r="B72" s="720" t="s">
        <v>1504</v>
      </c>
      <c r="C72" s="721">
        <v>92011</v>
      </c>
      <c r="D72" s="721">
        <v>0</v>
      </c>
      <c r="E72" s="721">
        <v>3562956</v>
      </c>
    </row>
    <row r="73" spans="1:5" ht="25.5" x14ac:dyDescent="0.2">
      <c r="A73" s="719" t="s">
        <v>1314</v>
      </c>
      <c r="B73" s="720" t="s">
        <v>1505</v>
      </c>
      <c r="C73" s="721">
        <v>0</v>
      </c>
      <c r="D73" s="721">
        <v>0</v>
      </c>
      <c r="E73" s="721">
        <v>6991769</v>
      </c>
    </row>
    <row r="74" spans="1:5" ht="38.25" x14ac:dyDescent="0.2">
      <c r="A74" s="719" t="s">
        <v>1227</v>
      </c>
      <c r="B74" s="720" t="s">
        <v>1506</v>
      </c>
      <c r="C74" s="721">
        <v>0</v>
      </c>
      <c r="D74" s="721">
        <v>0</v>
      </c>
      <c r="E74" s="721">
        <v>10000000</v>
      </c>
    </row>
    <row r="75" spans="1:5" ht="38.25" x14ac:dyDescent="0.2">
      <c r="A75" s="719" t="s">
        <v>1229</v>
      </c>
      <c r="B75" s="720" t="s">
        <v>1507</v>
      </c>
      <c r="C75" s="721">
        <v>0</v>
      </c>
      <c r="D75" s="721">
        <v>0</v>
      </c>
      <c r="E75" s="721">
        <v>15306</v>
      </c>
    </row>
    <row r="76" spans="1:5" ht="38.25" x14ac:dyDescent="0.2">
      <c r="A76" s="719" t="s">
        <v>1508</v>
      </c>
      <c r="B76" s="720" t="s">
        <v>1509</v>
      </c>
      <c r="C76" s="721">
        <v>0</v>
      </c>
      <c r="D76" s="721">
        <v>0</v>
      </c>
      <c r="E76" s="721">
        <v>15306</v>
      </c>
    </row>
    <row r="77" spans="1:5" ht="25.5" x14ac:dyDescent="0.2">
      <c r="A77" s="722" t="s">
        <v>1327</v>
      </c>
      <c r="B77" s="723" t="s">
        <v>1510</v>
      </c>
      <c r="C77" s="724">
        <v>92011</v>
      </c>
      <c r="D77" s="724">
        <v>0</v>
      </c>
      <c r="E77" s="724">
        <v>20570031</v>
      </c>
    </row>
    <row r="78" spans="1:5" ht="38.25" x14ac:dyDescent="0.2">
      <c r="A78" s="719" t="s">
        <v>1341</v>
      </c>
      <c r="B78" s="720" t="s">
        <v>1511</v>
      </c>
      <c r="C78" s="721">
        <v>94048925</v>
      </c>
      <c r="D78" s="721">
        <v>0</v>
      </c>
      <c r="E78" s="721">
        <v>86341860</v>
      </c>
    </row>
    <row r="79" spans="1:5" ht="51" x14ac:dyDescent="0.2">
      <c r="A79" s="719" t="s">
        <v>1512</v>
      </c>
      <c r="B79" s="720" t="s">
        <v>1513</v>
      </c>
      <c r="C79" s="721">
        <v>80000000</v>
      </c>
      <c r="D79" s="721">
        <v>0</v>
      </c>
      <c r="E79" s="721">
        <v>70000000</v>
      </c>
    </row>
    <row r="80" spans="1:5" ht="38.25" x14ac:dyDescent="0.2">
      <c r="A80" s="719" t="s">
        <v>1345</v>
      </c>
      <c r="B80" s="720" t="s">
        <v>1514</v>
      </c>
      <c r="C80" s="721">
        <v>14048925</v>
      </c>
      <c r="D80" s="721">
        <v>0</v>
      </c>
      <c r="E80" s="721">
        <v>16341860</v>
      </c>
    </row>
    <row r="81" spans="1:5" ht="25.5" x14ac:dyDescent="0.2">
      <c r="A81" s="722" t="s">
        <v>1515</v>
      </c>
      <c r="B81" s="723" t="s">
        <v>1516</v>
      </c>
      <c r="C81" s="724">
        <v>94048925</v>
      </c>
      <c r="D81" s="724">
        <v>0</v>
      </c>
      <c r="E81" s="724">
        <v>86341860</v>
      </c>
    </row>
    <row r="82" spans="1:5" x14ac:dyDescent="0.2">
      <c r="A82" s="719" t="s">
        <v>1517</v>
      </c>
      <c r="B82" s="720" t="s">
        <v>949</v>
      </c>
      <c r="C82" s="721">
        <v>7505690</v>
      </c>
      <c r="D82" s="721">
        <v>0</v>
      </c>
      <c r="E82" s="721">
        <v>11473997</v>
      </c>
    </row>
    <row r="83" spans="1:5" ht="25.5" x14ac:dyDescent="0.2">
      <c r="A83" s="719" t="s">
        <v>1518</v>
      </c>
      <c r="B83" s="720" t="s">
        <v>1519</v>
      </c>
      <c r="C83" s="721">
        <v>762700</v>
      </c>
      <c r="D83" s="721">
        <v>0</v>
      </c>
      <c r="E83" s="721">
        <v>200000</v>
      </c>
    </row>
    <row r="84" spans="1:5" ht="25.5" x14ac:dyDescent="0.2">
      <c r="A84" s="722" t="s">
        <v>1245</v>
      </c>
      <c r="B84" s="723" t="s">
        <v>1520</v>
      </c>
      <c r="C84" s="724">
        <v>8268390</v>
      </c>
      <c r="D84" s="724">
        <v>0</v>
      </c>
      <c r="E84" s="724">
        <v>11673997</v>
      </c>
    </row>
    <row r="85" spans="1:5" x14ac:dyDescent="0.2">
      <c r="A85" s="722" t="s">
        <v>1521</v>
      </c>
      <c r="B85" s="723" t="s">
        <v>1522</v>
      </c>
      <c r="C85" s="724">
        <v>102409326</v>
      </c>
      <c r="D85" s="724">
        <v>0</v>
      </c>
      <c r="E85" s="724">
        <v>118585888</v>
      </c>
    </row>
    <row r="86" spans="1:5" ht="25.5" x14ac:dyDescent="0.2">
      <c r="A86" s="719" t="s">
        <v>1523</v>
      </c>
      <c r="B86" s="720" t="s">
        <v>1524</v>
      </c>
      <c r="C86" s="721">
        <v>0</v>
      </c>
      <c r="D86" s="721">
        <v>0</v>
      </c>
      <c r="E86" s="721">
        <v>3403611</v>
      </c>
    </row>
    <row r="87" spans="1:5" ht="25.5" x14ac:dyDescent="0.2">
      <c r="A87" s="719" t="s">
        <v>1525</v>
      </c>
      <c r="B87" s="720" t="s">
        <v>1526</v>
      </c>
      <c r="C87" s="721">
        <v>23431227</v>
      </c>
      <c r="D87" s="721">
        <v>0</v>
      </c>
      <c r="E87" s="721">
        <v>22727193</v>
      </c>
    </row>
    <row r="88" spans="1:5" x14ac:dyDescent="0.2">
      <c r="A88" s="719" t="s">
        <v>1527</v>
      </c>
      <c r="B88" s="720" t="s">
        <v>954</v>
      </c>
      <c r="C88" s="721">
        <v>585875154</v>
      </c>
      <c r="D88" s="721">
        <v>0</v>
      </c>
      <c r="E88" s="721">
        <v>1268641560</v>
      </c>
    </row>
    <row r="89" spans="1:5" ht="25.5" x14ac:dyDescent="0.2">
      <c r="A89" s="722" t="s">
        <v>1528</v>
      </c>
      <c r="B89" s="723" t="s">
        <v>1529</v>
      </c>
      <c r="C89" s="724">
        <v>609306381</v>
      </c>
      <c r="D89" s="724">
        <v>0</v>
      </c>
      <c r="E89" s="724">
        <v>1294772364</v>
      </c>
    </row>
    <row r="90" spans="1:5" x14ac:dyDescent="0.2">
      <c r="A90" s="722" t="s">
        <v>1530</v>
      </c>
      <c r="B90" s="723" t="s">
        <v>1531</v>
      </c>
      <c r="C90" s="724">
        <v>5576378811</v>
      </c>
      <c r="D90" s="724">
        <v>0</v>
      </c>
      <c r="E90" s="724">
        <v>6416386924</v>
      </c>
    </row>
  </sheetData>
  <mergeCells count="2">
    <mergeCell ref="A2:E2"/>
    <mergeCell ref="A1:E1"/>
  </mergeCells>
  <pageMargins left="0.74803149606299213" right="0.74803149606299213" top="0.98425196850393704" bottom="0.98425196850393704" header="0.51181102362204722" footer="0.51181102362204722"/>
  <pageSetup paperSize="9" scale="58" orientation="portrait" horizontalDpi="300" verticalDpi="300" r:id="rId1"/>
  <headerFooter alignWithMargins="0">
    <oddHeader xml:space="preserve">&amp;C11/2019. (V.17.)  számú költségvetési rendelethez
Zalakaros Város Önkormányzata 2018.évi mérlege
</oddHeader>
  </headerFooter>
  <rowBreaks count="1" manualBreakCount="1">
    <brk id="44" max="4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view="pageLayout" zoomScaleNormal="100" workbookViewId="0">
      <selection activeCell="A8" sqref="A8"/>
    </sheetView>
  </sheetViews>
  <sheetFormatPr defaultRowHeight="12.75" x14ac:dyDescent="0.2"/>
  <cols>
    <col min="1" max="1" width="10.140625" customWidth="1"/>
    <col min="2" max="2" width="41" customWidth="1"/>
    <col min="3" max="3" width="25.7109375" customWidth="1"/>
    <col min="257" max="257" width="8.140625" customWidth="1"/>
    <col min="258" max="258" width="41" customWidth="1"/>
    <col min="259" max="259" width="32.85546875" customWidth="1"/>
    <col min="513" max="513" width="8.140625" customWidth="1"/>
    <col min="514" max="514" width="41" customWidth="1"/>
    <col min="515" max="515" width="32.85546875" customWidth="1"/>
    <col min="769" max="769" width="8.140625" customWidth="1"/>
    <col min="770" max="770" width="41" customWidth="1"/>
    <col min="771" max="771" width="32.85546875" customWidth="1"/>
    <col min="1025" max="1025" width="8.140625" customWidth="1"/>
    <col min="1026" max="1026" width="41" customWidth="1"/>
    <col min="1027" max="1027" width="32.85546875" customWidth="1"/>
    <col min="1281" max="1281" width="8.140625" customWidth="1"/>
    <col min="1282" max="1282" width="41" customWidth="1"/>
    <col min="1283" max="1283" width="32.85546875" customWidth="1"/>
    <col min="1537" max="1537" width="8.140625" customWidth="1"/>
    <col min="1538" max="1538" width="41" customWidth="1"/>
    <col min="1539" max="1539" width="32.85546875" customWidth="1"/>
    <col min="1793" max="1793" width="8.140625" customWidth="1"/>
    <col min="1794" max="1794" width="41" customWidth="1"/>
    <col min="1795" max="1795" width="32.85546875" customWidth="1"/>
    <col min="2049" max="2049" width="8.140625" customWidth="1"/>
    <col min="2050" max="2050" width="41" customWidth="1"/>
    <col min="2051" max="2051" width="32.85546875" customWidth="1"/>
    <col min="2305" max="2305" width="8.140625" customWidth="1"/>
    <col min="2306" max="2306" width="41" customWidth="1"/>
    <col min="2307" max="2307" width="32.85546875" customWidth="1"/>
    <col min="2561" max="2561" width="8.140625" customWidth="1"/>
    <col min="2562" max="2562" width="41" customWidth="1"/>
    <col min="2563" max="2563" width="32.85546875" customWidth="1"/>
    <col min="2817" max="2817" width="8.140625" customWidth="1"/>
    <col min="2818" max="2818" width="41" customWidth="1"/>
    <col min="2819" max="2819" width="32.85546875" customWidth="1"/>
    <col min="3073" max="3073" width="8.140625" customWidth="1"/>
    <col min="3074" max="3074" width="41" customWidth="1"/>
    <col min="3075" max="3075" width="32.85546875" customWidth="1"/>
    <col min="3329" max="3329" width="8.140625" customWidth="1"/>
    <col min="3330" max="3330" width="41" customWidth="1"/>
    <col min="3331" max="3331" width="32.85546875" customWidth="1"/>
    <col min="3585" max="3585" width="8.140625" customWidth="1"/>
    <col min="3586" max="3586" width="41" customWidth="1"/>
    <col min="3587" max="3587" width="32.85546875" customWidth="1"/>
    <col min="3841" max="3841" width="8.140625" customWidth="1"/>
    <col min="3842" max="3842" width="41" customWidth="1"/>
    <col min="3843" max="3843" width="32.85546875" customWidth="1"/>
    <col min="4097" max="4097" width="8.140625" customWidth="1"/>
    <col min="4098" max="4098" width="41" customWidth="1"/>
    <col min="4099" max="4099" width="32.85546875" customWidth="1"/>
    <col min="4353" max="4353" width="8.140625" customWidth="1"/>
    <col min="4354" max="4354" width="41" customWidth="1"/>
    <col min="4355" max="4355" width="32.85546875" customWidth="1"/>
    <col min="4609" max="4609" width="8.140625" customWidth="1"/>
    <col min="4610" max="4610" width="41" customWidth="1"/>
    <col min="4611" max="4611" width="32.85546875" customWidth="1"/>
    <col min="4865" max="4865" width="8.140625" customWidth="1"/>
    <col min="4866" max="4866" width="41" customWidth="1"/>
    <col min="4867" max="4867" width="32.85546875" customWidth="1"/>
    <col min="5121" max="5121" width="8.140625" customWidth="1"/>
    <col min="5122" max="5122" width="41" customWidth="1"/>
    <col min="5123" max="5123" width="32.85546875" customWidth="1"/>
    <col min="5377" max="5377" width="8.140625" customWidth="1"/>
    <col min="5378" max="5378" width="41" customWidth="1"/>
    <col min="5379" max="5379" width="32.85546875" customWidth="1"/>
    <col min="5633" max="5633" width="8.140625" customWidth="1"/>
    <col min="5634" max="5634" width="41" customWidth="1"/>
    <col min="5635" max="5635" width="32.85546875" customWidth="1"/>
    <col min="5889" max="5889" width="8.140625" customWidth="1"/>
    <col min="5890" max="5890" width="41" customWidth="1"/>
    <col min="5891" max="5891" width="32.85546875" customWidth="1"/>
    <col min="6145" max="6145" width="8.140625" customWidth="1"/>
    <col min="6146" max="6146" width="41" customWidth="1"/>
    <col min="6147" max="6147" width="32.85546875" customWidth="1"/>
    <col min="6401" max="6401" width="8.140625" customWidth="1"/>
    <col min="6402" max="6402" width="41" customWidth="1"/>
    <col min="6403" max="6403" width="32.85546875" customWidth="1"/>
    <col min="6657" max="6657" width="8.140625" customWidth="1"/>
    <col min="6658" max="6658" width="41" customWidth="1"/>
    <col min="6659" max="6659" width="32.85546875" customWidth="1"/>
    <col min="6913" max="6913" width="8.140625" customWidth="1"/>
    <col min="6914" max="6914" width="41" customWidth="1"/>
    <col min="6915" max="6915" width="32.85546875" customWidth="1"/>
    <col min="7169" max="7169" width="8.140625" customWidth="1"/>
    <col min="7170" max="7170" width="41" customWidth="1"/>
    <col min="7171" max="7171" width="32.85546875" customWidth="1"/>
    <col min="7425" max="7425" width="8.140625" customWidth="1"/>
    <col min="7426" max="7426" width="41" customWidth="1"/>
    <col min="7427" max="7427" width="32.85546875" customWidth="1"/>
    <col min="7681" max="7681" width="8.140625" customWidth="1"/>
    <col min="7682" max="7682" width="41" customWidth="1"/>
    <col min="7683" max="7683" width="32.85546875" customWidth="1"/>
    <col min="7937" max="7937" width="8.140625" customWidth="1"/>
    <col min="7938" max="7938" width="41" customWidth="1"/>
    <col min="7939" max="7939" width="32.85546875" customWidth="1"/>
    <col min="8193" max="8193" width="8.140625" customWidth="1"/>
    <col min="8194" max="8194" width="41" customWidth="1"/>
    <col min="8195" max="8195" width="32.85546875" customWidth="1"/>
    <col min="8449" max="8449" width="8.140625" customWidth="1"/>
    <col min="8450" max="8450" width="41" customWidth="1"/>
    <col min="8451" max="8451" width="32.85546875" customWidth="1"/>
    <col min="8705" max="8705" width="8.140625" customWidth="1"/>
    <col min="8706" max="8706" width="41" customWidth="1"/>
    <col min="8707" max="8707" width="32.85546875" customWidth="1"/>
    <col min="8961" max="8961" width="8.140625" customWidth="1"/>
    <col min="8962" max="8962" width="41" customWidth="1"/>
    <col min="8963" max="8963" width="32.85546875" customWidth="1"/>
    <col min="9217" max="9217" width="8.140625" customWidth="1"/>
    <col min="9218" max="9218" width="41" customWidth="1"/>
    <col min="9219" max="9219" width="32.85546875" customWidth="1"/>
    <col min="9473" max="9473" width="8.140625" customWidth="1"/>
    <col min="9474" max="9474" width="41" customWidth="1"/>
    <col min="9475" max="9475" width="32.85546875" customWidth="1"/>
    <col min="9729" max="9729" width="8.140625" customWidth="1"/>
    <col min="9730" max="9730" width="41" customWidth="1"/>
    <col min="9731" max="9731" width="32.85546875" customWidth="1"/>
    <col min="9985" max="9985" width="8.140625" customWidth="1"/>
    <col min="9986" max="9986" width="41" customWidth="1"/>
    <col min="9987" max="9987" width="32.85546875" customWidth="1"/>
    <col min="10241" max="10241" width="8.140625" customWidth="1"/>
    <col min="10242" max="10242" width="41" customWidth="1"/>
    <col min="10243" max="10243" width="32.85546875" customWidth="1"/>
    <col min="10497" max="10497" width="8.140625" customWidth="1"/>
    <col min="10498" max="10498" width="41" customWidth="1"/>
    <col min="10499" max="10499" width="32.85546875" customWidth="1"/>
    <col min="10753" max="10753" width="8.140625" customWidth="1"/>
    <col min="10754" max="10754" width="41" customWidth="1"/>
    <col min="10755" max="10755" width="32.85546875" customWidth="1"/>
    <col min="11009" max="11009" width="8.140625" customWidth="1"/>
    <col min="11010" max="11010" width="41" customWidth="1"/>
    <col min="11011" max="11011" width="32.85546875" customWidth="1"/>
    <col min="11265" max="11265" width="8.140625" customWidth="1"/>
    <col min="11266" max="11266" width="41" customWidth="1"/>
    <col min="11267" max="11267" width="32.85546875" customWidth="1"/>
    <col min="11521" max="11521" width="8.140625" customWidth="1"/>
    <col min="11522" max="11522" width="41" customWidth="1"/>
    <col min="11523" max="11523" width="32.85546875" customWidth="1"/>
    <col min="11777" max="11777" width="8.140625" customWidth="1"/>
    <col min="11778" max="11778" width="41" customWidth="1"/>
    <col min="11779" max="11779" width="32.85546875" customWidth="1"/>
    <col min="12033" max="12033" width="8.140625" customWidth="1"/>
    <col min="12034" max="12034" width="41" customWidth="1"/>
    <col min="12035" max="12035" width="32.85546875" customWidth="1"/>
    <col min="12289" max="12289" width="8.140625" customWidth="1"/>
    <col min="12290" max="12290" width="41" customWidth="1"/>
    <col min="12291" max="12291" width="32.85546875" customWidth="1"/>
    <col min="12545" max="12545" width="8.140625" customWidth="1"/>
    <col min="12546" max="12546" width="41" customWidth="1"/>
    <col min="12547" max="12547" width="32.85546875" customWidth="1"/>
    <col min="12801" max="12801" width="8.140625" customWidth="1"/>
    <col min="12802" max="12802" width="41" customWidth="1"/>
    <col min="12803" max="12803" width="32.85546875" customWidth="1"/>
    <col min="13057" max="13057" width="8.140625" customWidth="1"/>
    <col min="13058" max="13058" width="41" customWidth="1"/>
    <col min="13059" max="13059" width="32.85546875" customWidth="1"/>
    <col min="13313" max="13313" width="8.140625" customWidth="1"/>
    <col min="13314" max="13314" width="41" customWidth="1"/>
    <col min="13315" max="13315" width="32.85546875" customWidth="1"/>
    <col min="13569" max="13569" width="8.140625" customWidth="1"/>
    <col min="13570" max="13570" width="41" customWidth="1"/>
    <col min="13571" max="13571" width="32.85546875" customWidth="1"/>
    <col min="13825" max="13825" width="8.140625" customWidth="1"/>
    <col min="13826" max="13826" width="41" customWidth="1"/>
    <col min="13827" max="13827" width="32.85546875" customWidth="1"/>
    <col min="14081" max="14081" width="8.140625" customWidth="1"/>
    <col min="14082" max="14082" width="41" customWidth="1"/>
    <col min="14083" max="14083" width="32.85546875" customWidth="1"/>
    <col min="14337" max="14337" width="8.140625" customWidth="1"/>
    <col min="14338" max="14338" width="41" customWidth="1"/>
    <col min="14339" max="14339" width="32.85546875" customWidth="1"/>
    <col min="14593" max="14593" width="8.140625" customWidth="1"/>
    <col min="14594" max="14594" width="41" customWidth="1"/>
    <col min="14595" max="14595" width="32.85546875" customWidth="1"/>
    <col min="14849" max="14849" width="8.140625" customWidth="1"/>
    <col min="14850" max="14850" width="41" customWidth="1"/>
    <col min="14851" max="14851" width="32.85546875" customWidth="1"/>
    <col min="15105" max="15105" width="8.140625" customWidth="1"/>
    <col min="15106" max="15106" width="41" customWidth="1"/>
    <col min="15107" max="15107" width="32.85546875" customWidth="1"/>
    <col min="15361" max="15361" width="8.140625" customWidth="1"/>
    <col min="15362" max="15362" width="41" customWidth="1"/>
    <col min="15363" max="15363" width="32.85546875" customWidth="1"/>
    <col min="15617" max="15617" width="8.140625" customWidth="1"/>
    <col min="15618" max="15618" width="41" customWidth="1"/>
    <col min="15619" max="15619" width="32.85546875" customWidth="1"/>
    <col min="15873" max="15873" width="8.140625" customWidth="1"/>
    <col min="15874" max="15874" width="41" customWidth="1"/>
    <col min="15875" max="15875" width="32.85546875" customWidth="1"/>
    <col min="16129" max="16129" width="8.140625" customWidth="1"/>
    <col min="16130" max="16130" width="41" customWidth="1"/>
    <col min="16131" max="16131" width="32.85546875" customWidth="1"/>
  </cols>
  <sheetData>
    <row r="1" spans="1:3" x14ac:dyDescent="0.2">
      <c r="A1" s="1057" t="s">
        <v>1389</v>
      </c>
      <c r="B1" s="1058"/>
      <c r="C1" s="1058"/>
    </row>
    <row r="2" spans="1:3" s="707" customFormat="1" ht="15" x14ac:dyDescent="0.2">
      <c r="A2" s="717"/>
      <c r="B2" s="718"/>
      <c r="C2" s="718"/>
    </row>
    <row r="3" spans="1:3" ht="15" x14ac:dyDescent="0.2">
      <c r="A3" s="713" t="s">
        <v>0</v>
      </c>
      <c r="B3" s="713" t="s">
        <v>15</v>
      </c>
      <c r="C3" s="713" t="s">
        <v>1390</v>
      </c>
    </row>
    <row r="4" spans="1:3" ht="15" x14ac:dyDescent="0.2">
      <c r="A4" s="713">
        <v>1</v>
      </c>
      <c r="B4" s="713">
        <v>2</v>
      </c>
      <c r="C4" s="713">
        <v>3</v>
      </c>
    </row>
    <row r="5" spans="1:3" ht="25.5" x14ac:dyDescent="0.2">
      <c r="A5" s="719" t="s">
        <v>1085</v>
      </c>
      <c r="B5" s="720" t="s">
        <v>1391</v>
      </c>
      <c r="C5" s="721">
        <v>1915953822</v>
      </c>
    </row>
    <row r="6" spans="1:3" ht="25.5" x14ac:dyDescent="0.2">
      <c r="A6" s="719" t="s">
        <v>1087</v>
      </c>
      <c r="B6" s="720" t="s">
        <v>1392</v>
      </c>
      <c r="C6" s="721">
        <v>1209718740</v>
      </c>
    </row>
    <row r="7" spans="1:3" ht="25.5" x14ac:dyDescent="0.2">
      <c r="A7" s="722" t="s">
        <v>1261</v>
      </c>
      <c r="B7" s="723" t="s">
        <v>1393</v>
      </c>
      <c r="C7" s="724">
        <v>706235082</v>
      </c>
    </row>
    <row r="8" spans="1:3" ht="25.5" x14ac:dyDescent="0.2">
      <c r="A8" s="719" t="s">
        <v>1089</v>
      </c>
      <c r="B8" s="720" t="s">
        <v>1394</v>
      </c>
      <c r="C8" s="721">
        <v>676937234</v>
      </c>
    </row>
    <row r="9" spans="1:3" ht="25.5" x14ac:dyDescent="0.2">
      <c r="A9" s="719" t="s">
        <v>1264</v>
      </c>
      <c r="B9" s="720" t="s">
        <v>1395</v>
      </c>
      <c r="C9" s="721">
        <v>379851427</v>
      </c>
    </row>
    <row r="10" spans="1:3" ht="25.5" x14ac:dyDescent="0.2">
      <c r="A10" s="722" t="s">
        <v>1091</v>
      </c>
      <c r="B10" s="723" t="s">
        <v>1396</v>
      </c>
      <c r="C10" s="724">
        <v>297085807</v>
      </c>
    </row>
    <row r="11" spans="1:3" ht="25.5" x14ac:dyDescent="0.2">
      <c r="A11" s="722" t="s">
        <v>1093</v>
      </c>
      <c r="B11" s="723" t="s">
        <v>1397</v>
      </c>
      <c r="C11" s="724">
        <v>1003320889</v>
      </c>
    </row>
    <row r="12" spans="1:3" x14ac:dyDescent="0.2">
      <c r="A12" s="722" t="s">
        <v>1101</v>
      </c>
      <c r="B12" s="723" t="s">
        <v>1398</v>
      </c>
      <c r="C12" s="724">
        <v>1003320889</v>
      </c>
    </row>
    <row r="13" spans="1:3" ht="38.25" x14ac:dyDescent="0.2">
      <c r="A13" s="722" t="s">
        <v>1103</v>
      </c>
      <c r="B13" s="723" t="s">
        <v>1399</v>
      </c>
      <c r="C13" s="724">
        <v>991288966</v>
      </c>
    </row>
    <row r="14" spans="1:3" ht="25.5" x14ac:dyDescent="0.2">
      <c r="A14" s="722" t="s">
        <v>1105</v>
      </c>
      <c r="B14" s="723" t="s">
        <v>1400</v>
      </c>
      <c r="C14" s="724">
        <v>12031923</v>
      </c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 xml:space="preserve">&amp;C11/2019. (V.17.)  számú költségvetési rendelethez
Zalakaros Város Önkormányzata 2018.évi maradványa
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view="pageLayout" topLeftCell="A16" zoomScaleNormal="100" workbookViewId="0">
      <selection activeCell="E35" sqref="E35"/>
    </sheetView>
  </sheetViews>
  <sheetFormatPr defaultRowHeight="12.75" x14ac:dyDescent="0.2"/>
  <cols>
    <col min="1" max="1" width="11.42578125" customWidth="1"/>
    <col min="2" max="2" width="41" customWidth="1"/>
    <col min="3" max="3" width="22.85546875" customWidth="1"/>
    <col min="4" max="4" width="20.28515625" customWidth="1"/>
    <col min="5" max="5" width="19.85546875" customWidth="1"/>
    <col min="257" max="257" width="8.140625" customWidth="1"/>
    <col min="258" max="258" width="41" customWidth="1"/>
    <col min="259" max="261" width="32.85546875" customWidth="1"/>
    <col min="513" max="513" width="8.140625" customWidth="1"/>
    <col min="514" max="514" width="41" customWidth="1"/>
    <col min="515" max="517" width="32.85546875" customWidth="1"/>
    <col min="769" max="769" width="8.140625" customWidth="1"/>
    <col min="770" max="770" width="41" customWidth="1"/>
    <col min="771" max="773" width="32.85546875" customWidth="1"/>
    <col min="1025" max="1025" width="8.140625" customWidth="1"/>
    <col min="1026" max="1026" width="41" customWidth="1"/>
    <col min="1027" max="1029" width="32.85546875" customWidth="1"/>
    <col min="1281" max="1281" width="8.140625" customWidth="1"/>
    <col min="1282" max="1282" width="41" customWidth="1"/>
    <col min="1283" max="1285" width="32.85546875" customWidth="1"/>
    <col min="1537" max="1537" width="8.140625" customWidth="1"/>
    <col min="1538" max="1538" width="41" customWidth="1"/>
    <col min="1539" max="1541" width="32.85546875" customWidth="1"/>
    <col min="1793" max="1793" width="8.140625" customWidth="1"/>
    <col min="1794" max="1794" width="41" customWidth="1"/>
    <col min="1795" max="1797" width="32.85546875" customWidth="1"/>
    <col min="2049" max="2049" width="8.140625" customWidth="1"/>
    <col min="2050" max="2050" width="41" customWidth="1"/>
    <col min="2051" max="2053" width="32.85546875" customWidth="1"/>
    <col min="2305" max="2305" width="8.140625" customWidth="1"/>
    <col min="2306" max="2306" width="41" customWidth="1"/>
    <col min="2307" max="2309" width="32.85546875" customWidth="1"/>
    <col min="2561" max="2561" width="8.140625" customWidth="1"/>
    <col min="2562" max="2562" width="41" customWidth="1"/>
    <col min="2563" max="2565" width="32.85546875" customWidth="1"/>
    <col min="2817" max="2817" width="8.140625" customWidth="1"/>
    <col min="2818" max="2818" width="41" customWidth="1"/>
    <col min="2819" max="2821" width="32.85546875" customWidth="1"/>
    <col min="3073" max="3073" width="8.140625" customWidth="1"/>
    <col min="3074" max="3074" width="41" customWidth="1"/>
    <col min="3075" max="3077" width="32.85546875" customWidth="1"/>
    <col min="3329" max="3329" width="8.140625" customWidth="1"/>
    <col min="3330" max="3330" width="41" customWidth="1"/>
    <col min="3331" max="3333" width="32.85546875" customWidth="1"/>
    <col min="3585" max="3585" width="8.140625" customWidth="1"/>
    <col min="3586" max="3586" width="41" customWidth="1"/>
    <col min="3587" max="3589" width="32.85546875" customWidth="1"/>
    <col min="3841" max="3841" width="8.140625" customWidth="1"/>
    <col min="3842" max="3842" width="41" customWidth="1"/>
    <col min="3843" max="3845" width="32.85546875" customWidth="1"/>
    <col min="4097" max="4097" width="8.140625" customWidth="1"/>
    <col min="4098" max="4098" width="41" customWidth="1"/>
    <col min="4099" max="4101" width="32.85546875" customWidth="1"/>
    <col min="4353" max="4353" width="8.140625" customWidth="1"/>
    <col min="4354" max="4354" width="41" customWidth="1"/>
    <col min="4355" max="4357" width="32.85546875" customWidth="1"/>
    <col min="4609" max="4609" width="8.140625" customWidth="1"/>
    <col min="4610" max="4610" width="41" customWidth="1"/>
    <col min="4611" max="4613" width="32.85546875" customWidth="1"/>
    <col min="4865" max="4865" width="8.140625" customWidth="1"/>
    <col min="4866" max="4866" width="41" customWidth="1"/>
    <col min="4867" max="4869" width="32.85546875" customWidth="1"/>
    <col min="5121" max="5121" width="8.140625" customWidth="1"/>
    <col min="5122" max="5122" width="41" customWidth="1"/>
    <col min="5123" max="5125" width="32.85546875" customWidth="1"/>
    <col min="5377" max="5377" width="8.140625" customWidth="1"/>
    <col min="5378" max="5378" width="41" customWidth="1"/>
    <col min="5379" max="5381" width="32.85546875" customWidth="1"/>
    <col min="5633" max="5633" width="8.140625" customWidth="1"/>
    <col min="5634" max="5634" width="41" customWidth="1"/>
    <col min="5635" max="5637" width="32.85546875" customWidth="1"/>
    <col min="5889" max="5889" width="8.140625" customWidth="1"/>
    <col min="5890" max="5890" width="41" customWidth="1"/>
    <col min="5891" max="5893" width="32.85546875" customWidth="1"/>
    <col min="6145" max="6145" width="8.140625" customWidth="1"/>
    <col min="6146" max="6146" width="41" customWidth="1"/>
    <col min="6147" max="6149" width="32.85546875" customWidth="1"/>
    <col min="6401" max="6401" width="8.140625" customWidth="1"/>
    <col min="6402" max="6402" width="41" customWidth="1"/>
    <col min="6403" max="6405" width="32.85546875" customWidth="1"/>
    <col min="6657" max="6657" width="8.140625" customWidth="1"/>
    <col min="6658" max="6658" width="41" customWidth="1"/>
    <col min="6659" max="6661" width="32.85546875" customWidth="1"/>
    <col min="6913" max="6913" width="8.140625" customWidth="1"/>
    <col min="6914" max="6914" width="41" customWidth="1"/>
    <col min="6915" max="6917" width="32.85546875" customWidth="1"/>
    <col min="7169" max="7169" width="8.140625" customWidth="1"/>
    <col min="7170" max="7170" width="41" customWidth="1"/>
    <col min="7171" max="7173" width="32.85546875" customWidth="1"/>
    <col min="7425" max="7425" width="8.140625" customWidth="1"/>
    <col min="7426" max="7426" width="41" customWidth="1"/>
    <col min="7427" max="7429" width="32.85546875" customWidth="1"/>
    <col min="7681" max="7681" width="8.140625" customWidth="1"/>
    <col min="7682" max="7682" width="41" customWidth="1"/>
    <col min="7683" max="7685" width="32.85546875" customWidth="1"/>
    <col min="7937" max="7937" width="8.140625" customWidth="1"/>
    <col min="7938" max="7938" width="41" customWidth="1"/>
    <col min="7939" max="7941" width="32.85546875" customWidth="1"/>
    <col min="8193" max="8193" width="8.140625" customWidth="1"/>
    <col min="8194" max="8194" width="41" customWidth="1"/>
    <col min="8195" max="8197" width="32.85546875" customWidth="1"/>
    <col min="8449" max="8449" width="8.140625" customWidth="1"/>
    <col min="8450" max="8450" width="41" customWidth="1"/>
    <col min="8451" max="8453" width="32.85546875" customWidth="1"/>
    <col min="8705" max="8705" width="8.140625" customWidth="1"/>
    <col min="8706" max="8706" width="41" customWidth="1"/>
    <col min="8707" max="8709" width="32.85546875" customWidth="1"/>
    <col min="8961" max="8961" width="8.140625" customWidth="1"/>
    <col min="8962" max="8962" width="41" customWidth="1"/>
    <col min="8963" max="8965" width="32.85546875" customWidth="1"/>
    <col min="9217" max="9217" width="8.140625" customWidth="1"/>
    <col min="9218" max="9218" width="41" customWidth="1"/>
    <col min="9219" max="9221" width="32.85546875" customWidth="1"/>
    <col min="9473" max="9473" width="8.140625" customWidth="1"/>
    <col min="9474" max="9474" width="41" customWidth="1"/>
    <col min="9475" max="9477" width="32.85546875" customWidth="1"/>
    <col min="9729" max="9729" width="8.140625" customWidth="1"/>
    <col min="9730" max="9730" width="41" customWidth="1"/>
    <col min="9731" max="9733" width="32.85546875" customWidth="1"/>
    <col min="9985" max="9985" width="8.140625" customWidth="1"/>
    <col min="9986" max="9986" width="41" customWidth="1"/>
    <col min="9987" max="9989" width="32.85546875" customWidth="1"/>
    <col min="10241" max="10241" width="8.140625" customWidth="1"/>
    <col min="10242" max="10242" width="41" customWidth="1"/>
    <col min="10243" max="10245" width="32.85546875" customWidth="1"/>
    <col min="10497" max="10497" width="8.140625" customWidth="1"/>
    <col min="10498" max="10498" width="41" customWidth="1"/>
    <col min="10499" max="10501" width="32.85546875" customWidth="1"/>
    <col min="10753" max="10753" width="8.140625" customWidth="1"/>
    <col min="10754" max="10754" width="41" customWidth="1"/>
    <col min="10755" max="10757" width="32.85546875" customWidth="1"/>
    <col min="11009" max="11009" width="8.140625" customWidth="1"/>
    <col min="11010" max="11010" width="41" customWidth="1"/>
    <col min="11011" max="11013" width="32.85546875" customWidth="1"/>
    <col min="11265" max="11265" width="8.140625" customWidth="1"/>
    <col min="11266" max="11266" width="41" customWidth="1"/>
    <col min="11267" max="11269" width="32.85546875" customWidth="1"/>
    <col min="11521" max="11521" width="8.140625" customWidth="1"/>
    <col min="11522" max="11522" width="41" customWidth="1"/>
    <col min="11523" max="11525" width="32.85546875" customWidth="1"/>
    <col min="11777" max="11777" width="8.140625" customWidth="1"/>
    <col min="11778" max="11778" width="41" customWidth="1"/>
    <col min="11779" max="11781" width="32.85546875" customWidth="1"/>
    <col min="12033" max="12033" width="8.140625" customWidth="1"/>
    <col min="12034" max="12034" width="41" customWidth="1"/>
    <col min="12035" max="12037" width="32.85546875" customWidth="1"/>
    <col min="12289" max="12289" width="8.140625" customWidth="1"/>
    <col min="12290" max="12290" width="41" customWidth="1"/>
    <col min="12291" max="12293" width="32.85546875" customWidth="1"/>
    <col min="12545" max="12545" width="8.140625" customWidth="1"/>
    <col min="12546" max="12546" width="41" customWidth="1"/>
    <col min="12547" max="12549" width="32.85546875" customWidth="1"/>
    <col min="12801" max="12801" width="8.140625" customWidth="1"/>
    <col min="12802" max="12802" width="41" customWidth="1"/>
    <col min="12803" max="12805" width="32.85546875" customWidth="1"/>
    <col min="13057" max="13057" width="8.140625" customWidth="1"/>
    <col min="13058" max="13058" width="41" customWidth="1"/>
    <col min="13059" max="13061" width="32.85546875" customWidth="1"/>
    <col min="13313" max="13313" width="8.140625" customWidth="1"/>
    <col min="13314" max="13314" width="41" customWidth="1"/>
    <col min="13315" max="13317" width="32.85546875" customWidth="1"/>
    <col min="13569" max="13569" width="8.140625" customWidth="1"/>
    <col min="13570" max="13570" width="41" customWidth="1"/>
    <col min="13571" max="13573" width="32.85546875" customWidth="1"/>
    <col min="13825" max="13825" width="8.140625" customWidth="1"/>
    <col min="13826" max="13826" width="41" customWidth="1"/>
    <col min="13827" max="13829" width="32.85546875" customWidth="1"/>
    <col min="14081" max="14081" width="8.140625" customWidth="1"/>
    <col min="14082" max="14082" width="41" customWidth="1"/>
    <col min="14083" max="14085" width="32.85546875" customWidth="1"/>
    <col min="14337" max="14337" width="8.140625" customWidth="1"/>
    <col min="14338" max="14338" width="41" customWidth="1"/>
    <col min="14339" max="14341" width="32.85546875" customWidth="1"/>
    <col min="14593" max="14593" width="8.140625" customWidth="1"/>
    <col min="14594" max="14594" width="41" customWidth="1"/>
    <col min="14595" max="14597" width="32.85546875" customWidth="1"/>
    <col min="14849" max="14849" width="8.140625" customWidth="1"/>
    <col min="14850" max="14850" width="41" customWidth="1"/>
    <col min="14851" max="14853" width="32.85546875" customWidth="1"/>
    <col min="15105" max="15105" width="8.140625" customWidth="1"/>
    <col min="15106" max="15106" width="41" customWidth="1"/>
    <col min="15107" max="15109" width="32.85546875" customWidth="1"/>
    <col min="15361" max="15361" width="8.140625" customWidth="1"/>
    <col min="15362" max="15362" width="41" customWidth="1"/>
    <col min="15363" max="15365" width="32.85546875" customWidth="1"/>
    <col min="15617" max="15617" width="8.140625" customWidth="1"/>
    <col min="15618" max="15618" width="41" customWidth="1"/>
    <col min="15619" max="15621" width="32.85546875" customWidth="1"/>
    <col min="15873" max="15873" width="8.140625" customWidth="1"/>
    <col min="15874" max="15874" width="41" customWidth="1"/>
    <col min="15875" max="15877" width="32.85546875" customWidth="1"/>
    <col min="16129" max="16129" width="8.140625" customWidth="1"/>
    <col min="16130" max="16130" width="41" customWidth="1"/>
    <col min="16131" max="16133" width="32.85546875" customWidth="1"/>
  </cols>
  <sheetData>
    <row r="1" spans="1:5" x14ac:dyDescent="0.2">
      <c r="A1" s="1059" t="s">
        <v>1532</v>
      </c>
      <c r="B1" s="1060"/>
      <c r="C1" s="1060"/>
      <c r="D1" s="1060"/>
      <c r="E1" s="1060"/>
    </row>
    <row r="2" spans="1:5" s="707" customFormat="1" ht="15" x14ac:dyDescent="0.2">
      <c r="A2" s="714"/>
      <c r="B2" s="715"/>
      <c r="C2" s="715"/>
      <c r="D2" s="715"/>
      <c r="E2" s="715"/>
    </row>
    <row r="3" spans="1:5" ht="15" x14ac:dyDescent="0.2">
      <c r="A3" s="713" t="s">
        <v>0</v>
      </c>
      <c r="B3" s="713" t="s">
        <v>15</v>
      </c>
      <c r="C3" s="713" t="s">
        <v>1402</v>
      </c>
      <c r="D3" s="713" t="s">
        <v>1403</v>
      </c>
      <c r="E3" s="713" t="s">
        <v>1404</v>
      </c>
    </row>
    <row r="4" spans="1:5" ht="15" x14ac:dyDescent="0.2">
      <c r="A4" s="713">
        <v>1</v>
      </c>
      <c r="B4" s="713">
        <v>2</v>
      </c>
      <c r="C4" s="713">
        <v>3</v>
      </c>
      <c r="D4" s="713">
        <v>4</v>
      </c>
      <c r="E4" s="713">
        <v>5</v>
      </c>
    </row>
    <row r="5" spans="1:5" x14ac:dyDescent="0.2">
      <c r="A5" s="719" t="s">
        <v>1085</v>
      </c>
      <c r="B5" s="720" t="s">
        <v>1533</v>
      </c>
      <c r="C5" s="721">
        <v>482304120</v>
      </c>
      <c r="D5" s="721">
        <v>0</v>
      </c>
      <c r="E5" s="721">
        <v>496209430</v>
      </c>
    </row>
    <row r="6" spans="1:5" ht="25.5" x14ac:dyDescent="0.2">
      <c r="A6" s="719" t="s">
        <v>1087</v>
      </c>
      <c r="B6" s="720" t="s">
        <v>1534</v>
      </c>
      <c r="C6" s="721">
        <v>89279890</v>
      </c>
      <c r="D6" s="721">
        <v>0</v>
      </c>
      <c r="E6" s="721">
        <v>86831735</v>
      </c>
    </row>
    <row r="7" spans="1:5" ht="25.5" x14ac:dyDescent="0.2">
      <c r="A7" s="719" t="s">
        <v>1261</v>
      </c>
      <c r="B7" s="720" t="s">
        <v>1535</v>
      </c>
      <c r="C7" s="721">
        <v>16065810</v>
      </c>
      <c r="D7" s="721">
        <v>0</v>
      </c>
      <c r="E7" s="721">
        <v>11126430</v>
      </c>
    </row>
    <row r="8" spans="1:5" ht="25.5" x14ac:dyDescent="0.2">
      <c r="A8" s="722" t="s">
        <v>1089</v>
      </c>
      <c r="B8" s="723" t="s">
        <v>1536</v>
      </c>
      <c r="C8" s="724">
        <v>587649820</v>
      </c>
      <c r="D8" s="724">
        <v>0</v>
      </c>
      <c r="E8" s="724">
        <v>594167595</v>
      </c>
    </row>
    <row r="9" spans="1:5" ht="25.5" x14ac:dyDescent="0.2">
      <c r="A9" s="719" t="s">
        <v>1268</v>
      </c>
      <c r="B9" s="720" t="s">
        <v>1537</v>
      </c>
      <c r="C9" s="721">
        <v>617275378</v>
      </c>
      <c r="D9" s="721">
        <v>0</v>
      </c>
      <c r="E9" s="721">
        <v>641764570</v>
      </c>
    </row>
    <row r="10" spans="1:5" ht="25.5" x14ac:dyDescent="0.2">
      <c r="A10" s="719" t="s">
        <v>1095</v>
      </c>
      <c r="B10" s="720" t="s">
        <v>1538</v>
      </c>
      <c r="C10" s="721">
        <v>54159533</v>
      </c>
      <c r="D10" s="721">
        <v>0</v>
      </c>
      <c r="E10" s="721">
        <v>92286810</v>
      </c>
    </row>
    <row r="11" spans="1:5" ht="25.5" x14ac:dyDescent="0.2">
      <c r="A11" s="719" t="s">
        <v>1097</v>
      </c>
      <c r="B11" s="720" t="s">
        <v>1539</v>
      </c>
      <c r="C11" s="721">
        <v>24152285</v>
      </c>
      <c r="D11" s="721">
        <v>0</v>
      </c>
      <c r="E11" s="721">
        <v>38495669</v>
      </c>
    </row>
    <row r="12" spans="1:5" ht="25.5" x14ac:dyDescent="0.2">
      <c r="A12" s="719" t="s">
        <v>1379</v>
      </c>
      <c r="B12" s="720" t="s">
        <v>1540</v>
      </c>
      <c r="C12" s="721">
        <v>77705182</v>
      </c>
      <c r="D12" s="721">
        <v>0</v>
      </c>
      <c r="E12" s="721">
        <v>136206970</v>
      </c>
    </row>
    <row r="13" spans="1:5" ht="25.5" x14ac:dyDescent="0.2">
      <c r="A13" s="722" t="s">
        <v>1381</v>
      </c>
      <c r="B13" s="723" t="s">
        <v>1541</v>
      </c>
      <c r="C13" s="724">
        <v>773292378</v>
      </c>
      <c r="D13" s="724">
        <v>0</v>
      </c>
      <c r="E13" s="724">
        <v>908754019</v>
      </c>
    </row>
    <row r="14" spans="1:5" x14ac:dyDescent="0.2">
      <c r="A14" s="719" t="s">
        <v>1099</v>
      </c>
      <c r="B14" s="720" t="s">
        <v>1542</v>
      </c>
      <c r="C14" s="721">
        <v>51539458</v>
      </c>
      <c r="D14" s="721">
        <v>0</v>
      </c>
      <c r="E14" s="721">
        <v>47565172</v>
      </c>
    </row>
    <row r="15" spans="1:5" x14ac:dyDescent="0.2">
      <c r="A15" s="719" t="s">
        <v>1383</v>
      </c>
      <c r="B15" s="720" t="s">
        <v>1543</v>
      </c>
      <c r="C15" s="721">
        <v>261812309</v>
      </c>
      <c r="D15" s="721">
        <v>0</v>
      </c>
      <c r="E15" s="721">
        <v>262731054</v>
      </c>
    </row>
    <row r="16" spans="1:5" x14ac:dyDescent="0.2">
      <c r="A16" s="719" t="s">
        <v>1103</v>
      </c>
      <c r="B16" s="720" t="s">
        <v>1544</v>
      </c>
      <c r="C16" s="721">
        <v>2080069</v>
      </c>
      <c r="D16" s="721">
        <v>0</v>
      </c>
      <c r="E16" s="721">
        <v>2636468</v>
      </c>
    </row>
    <row r="17" spans="1:5" ht="25.5" x14ac:dyDescent="0.2">
      <c r="A17" s="722" t="s">
        <v>1105</v>
      </c>
      <c r="B17" s="723" t="s">
        <v>1545</v>
      </c>
      <c r="C17" s="724">
        <v>315431836</v>
      </c>
      <c r="D17" s="724">
        <v>0</v>
      </c>
      <c r="E17" s="724">
        <v>312932694</v>
      </c>
    </row>
    <row r="18" spans="1:5" x14ac:dyDescent="0.2">
      <c r="A18" s="719" t="s">
        <v>1107</v>
      </c>
      <c r="B18" s="720" t="s">
        <v>1546</v>
      </c>
      <c r="C18" s="721">
        <v>210608567</v>
      </c>
      <c r="D18" s="721">
        <v>0</v>
      </c>
      <c r="E18" s="721">
        <v>196876406</v>
      </c>
    </row>
    <row r="19" spans="1:5" x14ac:dyDescent="0.2">
      <c r="A19" s="719" t="s">
        <v>1109</v>
      </c>
      <c r="B19" s="720" t="s">
        <v>1547</v>
      </c>
      <c r="C19" s="721">
        <v>45297906</v>
      </c>
      <c r="D19" s="721">
        <v>0</v>
      </c>
      <c r="E19" s="721">
        <v>51776909</v>
      </c>
    </row>
    <row r="20" spans="1:5" x14ac:dyDescent="0.2">
      <c r="A20" s="719" t="s">
        <v>1111</v>
      </c>
      <c r="B20" s="720" t="s">
        <v>1548</v>
      </c>
      <c r="C20" s="721">
        <v>58967020</v>
      </c>
      <c r="D20" s="721">
        <v>0</v>
      </c>
      <c r="E20" s="721">
        <v>50638861</v>
      </c>
    </row>
    <row r="21" spans="1:5" ht="25.5" x14ac:dyDescent="0.2">
      <c r="A21" s="722" t="s">
        <v>1113</v>
      </c>
      <c r="B21" s="723" t="s">
        <v>1549</v>
      </c>
      <c r="C21" s="724">
        <v>314873493</v>
      </c>
      <c r="D21" s="724">
        <v>0</v>
      </c>
      <c r="E21" s="724">
        <v>299292176</v>
      </c>
    </row>
    <row r="22" spans="1:5" x14ac:dyDescent="0.2">
      <c r="A22" s="722" t="s">
        <v>1115</v>
      </c>
      <c r="B22" s="723" t="s">
        <v>1550</v>
      </c>
      <c r="C22" s="724">
        <v>157332248</v>
      </c>
      <c r="D22" s="724">
        <v>0</v>
      </c>
      <c r="E22" s="724">
        <v>159384208</v>
      </c>
    </row>
    <row r="23" spans="1:5" x14ac:dyDescent="0.2">
      <c r="A23" s="722" t="s">
        <v>1117</v>
      </c>
      <c r="B23" s="723" t="s">
        <v>1551</v>
      </c>
      <c r="C23" s="724">
        <v>618095542</v>
      </c>
      <c r="D23" s="724">
        <v>0</v>
      </c>
      <c r="E23" s="724">
        <v>627440003</v>
      </c>
    </row>
    <row r="24" spans="1:5" ht="25.5" x14ac:dyDescent="0.2">
      <c r="A24" s="722" t="s">
        <v>1119</v>
      </c>
      <c r="B24" s="723" t="s">
        <v>1552</v>
      </c>
      <c r="C24" s="724">
        <v>-44790921</v>
      </c>
      <c r="D24" s="724">
        <v>0</v>
      </c>
      <c r="E24" s="724">
        <v>103872533</v>
      </c>
    </row>
    <row r="25" spans="1:5" x14ac:dyDescent="0.2">
      <c r="A25" s="719" t="s">
        <v>1121</v>
      </c>
      <c r="B25" s="720" t="s">
        <v>1553</v>
      </c>
      <c r="C25" s="721">
        <v>88200</v>
      </c>
      <c r="D25" s="721">
        <v>0</v>
      </c>
      <c r="E25" s="721">
        <v>0</v>
      </c>
    </row>
    <row r="26" spans="1:5" ht="38.25" x14ac:dyDescent="0.2">
      <c r="A26" s="719" t="s">
        <v>1125</v>
      </c>
      <c r="B26" s="720" t="s">
        <v>1554</v>
      </c>
      <c r="C26" s="721">
        <v>4300000</v>
      </c>
      <c r="D26" s="721">
        <v>0</v>
      </c>
      <c r="E26" s="721">
        <v>0</v>
      </c>
    </row>
    <row r="27" spans="1:5" ht="25.5" x14ac:dyDescent="0.2">
      <c r="A27" s="719" t="s">
        <v>1127</v>
      </c>
      <c r="B27" s="720" t="s">
        <v>1555</v>
      </c>
      <c r="C27" s="721">
        <v>1940</v>
      </c>
      <c r="D27" s="721">
        <v>0</v>
      </c>
      <c r="E27" s="721">
        <v>5550328</v>
      </c>
    </row>
    <row r="28" spans="1:5" ht="25.5" x14ac:dyDescent="0.2">
      <c r="A28" s="719" t="s">
        <v>1129</v>
      </c>
      <c r="B28" s="720" t="s">
        <v>1556</v>
      </c>
      <c r="C28" s="721">
        <v>0</v>
      </c>
      <c r="D28" s="721">
        <v>0</v>
      </c>
      <c r="E28" s="721">
        <v>721617</v>
      </c>
    </row>
    <row r="29" spans="1:5" ht="38.25" x14ac:dyDescent="0.2">
      <c r="A29" s="722" t="s">
        <v>1133</v>
      </c>
      <c r="B29" s="723" t="s">
        <v>1557</v>
      </c>
      <c r="C29" s="724">
        <v>4390140</v>
      </c>
      <c r="D29" s="724">
        <v>0</v>
      </c>
      <c r="E29" s="724">
        <v>6271945</v>
      </c>
    </row>
    <row r="30" spans="1:5" ht="25.5" x14ac:dyDescent="0.2">
      <c r="A30" s="719" t="s">
        <v>1139</v>
      </c>
      <c r="B30" s="720" t="s">
        <v>1558</v>
      </c>
      <c r="C30" s="721">
        <v>1200710</v>
      </c>
      <c r="D30" s="721">
        <v>0</v>
      </c>
      <c r="E30" s="721">
        <v>1000122</v>
      </c>
    </row>
    <row r="31" spans="1:5" ht="25.5" x14ac:dyDescent="0.2">
      <c r="A31" s="719" t="s">
        <v>1145</v>
      </c>
      <c r="B31" s="720" t="s">
        <v>1559</v>
      </c>
      <c r="C31" s="721">
        <v>81</v>
      </c>
      <c r="D31" s="721">
        <v>0</v>
      </c>
      <c r="E31" s="721">
        <v>72</v>
      </c>
    </row>
    <row r="32" spans="1:5" ht="25.5" x14ac:dyDescent="0.2">
      <c r="A32" s="722" t="s">
        <v>1151</v>
      </c>
      <c r="B32" s="723" t="s">
        <v>1560</v>
      </c>
      <c r="C32" s="724">
        <v>1200791</v>
      </c>
      <c r="D32" s="724">
        <v>0</v>
      </c>
      <c r="E32" s="724">
        <v>1000194</v>
      </c>
    </row>
    <row r="33" spans="1:5" ht="25.5" x14ac:dyDescent="0.2">
      <c r="A33" s="722" t="s">
        <v>1153</v>
      </c>
      <c r="B33" s="723" t="s">
        <v>1561</v>
      </c>
      <c r="C33" s="724">
        <v>3189349</v>
      </c>
      <c r="D33" s="724">
        <v>0</v>
      </c>
      <c r="E33" s="724">
        <v>5271751</v>
      </c>
    </row>
    <row r="34" spans="1:5" x14ac:dyDescent="0.2">
      <c r="A34" s="722" t="s">
        <v>1155</v>
      </c>
      <c r="B34" s="723" t="s">
        <v>1562</v>
      </c>
      <c r="C34" s="724">
        <v>-41601572</v>
      </c>
      <c r="D34" s="724">
        <v>0</v>
      </c>
      <c r="E34" s="724">
        <v>109144284</v>
      </c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scale="61" orientation="portrait" horizontalDpi="300" verticalDpi="300" r:id="rId1"/>
  <headerFooter alignWithMargins="0">
    <oddHeader>&amp;C11/2019. (V.17.) számú költségvetési rendelethez
Zalakaros Város Önkormányzata 2018.évi eredmény kimutatása
&amp;R23.sz.melléklet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75"/>
  <sheetViews>
    <sheetView topLeftCell="A52" zoomScaleNormal="100" zoomScaleSheetLayoutView="100" workbookViewId="0">
      <selection activeCell="F36" sqref="F36"/>
    </sheetView>
  </sheetViews>
  <sheetFormatPr defaultRowHeight="12.75" x14ac:dyDescent="0.2"/>
  <cols>
    <col min="1" max="1" width="4.42578125" style="655" customWidth="1"/>
    <col min="2" max="2" width="36.42578125" style="655" customWidth="1"/>
    <col min="3" max="3" width="14.140625" style="655" customWidth="1"/>
    <col min="4" max="4" width="38.85546875" style="655" customWidth="1"/>
    <col min="5" max="5" width="17.7109375" style="655" customWidth="1"/>
    <col min="6" max="6" width="13" style="655" customWidth="1"/>
    <col min="7" max="16384" width="9.140625" style="655"/>
  </cols>
  <sheetData>
    <row r="1" spans="1:13" ht="15" x14ac:dyDescent="0.2">
      <c r="A1" s="1090" t="s">
        <v>1563</v>
      </c>
      <c r="B1" s="1090"/>
      <c r="C1" s="1090"/>
      <c r="D1" s="1090"/>
      <c r="E1" s="1090"/>
    </row>
    <row r="2" spans="1:13" ht="19.5" customHeight="1" x14ac:dyDescent="0.2">
      <c r="A2" s="1091" t="s">
        <v>1616</v>
      </c>
      <c r="B2" s="1091"/>
      <c r="C2" s="1091"/>
      <c r="D2" s="1091"/>
      <c r="E2" s="1091"/>
    </row>
    <row r="3" spans="1:13" ht="19.5" customHeight="1" x14ac:dyDescent="0.2">
      <c r="A3" s="725"/>
      <c r="B3" s="725"/>
      <c r="C3" s="725"/>
      <c r="D3" s="725"/>
      <c r="E3" s="725"/>
    </row>
    <row r="4" spans="1:13" x14ac:dyDescent="0.2">
      <c r="E4" s="656" t="s">
        <v>514</v>
      </c>
    </row>
    <row r="5" spans="1:13" ht="12.75" customHeight="1" x14ac:dyDescent="0.2">
      <c r="A5" s="1092" t="s">
        <v>1564</v>
      </c>
      <c r="B5" s="1092" t="s">
        <v>15</v>
      </c>
      <c r="C5" s="1092" t="s">
        <v>1565</v>
      </c>
      <c r="D5" s="1093" t="s">
        <v>1566</v>
      </c>
      <c r="E5" s="1095" t="s">
        <v>1567</v>
      </c>
      <c r="F5" s="1096" t="s">
        <v>1568</v>
      </c>
    </row>
    <row r="6" spans="1:13" ht="26.25" customHeight="1" x14ac:dyDescent="0.2">
      <c r="A6" s="1092"/>
      <c r="B6" s="1092"/>
      <c r="C6" s="1092"/>
      <c r="D6" s="1094"/>
      <c r="E6" s="1095"/>
      <c r="F6" s="1096"/>
      <c r="H6" s="729"/>
      <c r="I6" s="730"/>
      <c r="J6" s="731"/>
      <c r="K6" s="732"/>
      <c r="L6" s="733"/>
      <c r="M6" s="734"/>
    </row>
    <row r="7" spans="1:13" ht="18" customHeight="1" x14ac:dyDescent="0.2">
      <c r="A7" s="735"/>
      <c r="B7" s="736" t="s">
        <v>1569</v>
      </c>
      <c r="C7" s="735" t="s">
        <v>514</v>
      </c>
      <c r="D7" s="737"/>
      <c r="E7" s="779"/>
      <c r="F7" s="1076">
        <v>0</v>
      </c>
      <c r="H7" s="729"/>
      <c r="I7" s="738"/>
      <c r="J7" s="731"/>
      <c r="K7" s="732"/>
      <c r="L7" s="733"/>
      <c r="M7" s="734"/>
    </row>
    <row r="8" spans="1:13" ht="18" customHeight="1" x14ac:dyDescent="0.2">
      <c r="A8" s="1062" t="s">
        <v>2</v>
      </c>
      <c r="B8" s="1088" t="s">
        <v>1570</v>
      </c>
      <c r="C8" s="1097">
        <v>2969696</v>
      </c>
      <c r="D8" s="739" t="s">
        <v>1935</v>
      </c>
      <c r="E8" s="779">
        <v>331055</v>
      </c>
      <c r="F8" s="1076"/>
      <c r="H8" s="729"/>
      <c r="I8" s="738"/>
      <c r="J8" s="731"/>
      <c r="K8" s="732"/>
      <c r="L8" s="733"/>
      <c r="M8" s="734"/>
    </row>
    <row r="9" spans="1:13" ht="18" customHeight="1" x14ac:dyDescent="0.2">
      <c r="A9" s="1069"/>
      <c r="B9" s="1089"/>
      <c r="C9" s="1098"/>
      <c r="D9" s="739" t="s">
        <v>1571</v>
      </c>
      <c r="E9" s="779">
        <v>930760</v>
      </c>
      <c r="F9" s="1076"/>
      <c r="H9" s="729"/>
      <c r="I9" s="738"/>
      <c r="J9" s="731"/>
      <c r="K9" s="732"/>
      <c r="L9" s="733"/>
      <c r="M9" s="734"/>
    </row>
    <row r="10" spans="1:13" ht="18" customHeight="1" x14ac:dyDescent="0.2">
      <c r="A10" s="1069"/>
      <c r="B10" s="1089"/>
      <c r="C10" s="1098"/>
      <c r="D10" s="739" t="s">
        <v>1936</v>
      </c>
      <c r="E10" s="779">
        <v>569000</v>
      </c>
      <c r="F10" s="1076"/>
      <c r="H10" s="729"/>
      <c r="I10" s="738"/>
      <c r="J10" s="731"/>
      <c r="K10" s="732"/>
      <c r="L10" s="733"/>
      <c r="M10" s="734"/>
    </row>
    <row r="11" spans="1:13" ht="18" customHeight="1" x14ac:dyDescent="0.2">
      <c r="A11" s="1069"/>
      <c r="B11" s="1089"/>
      <c r="C11" s="1098"/>
      <c r="D11" s="740" t="s">
        <v>1937</v>
      </c>
      <c r="E11" s="779">
        <v>288600</v>
      </c>
      <c r="F11" s="1076"/>
      <c r="H11" s="729"/>
      <c r="I11" s="738"/>
      <c r="J11" s="731"/>
      <c r="K11" s="732"/>
      <c r="L11" s="733"/>
      <c r="M11" s="734"/>
    </row>
    <row r="12" spans="1:13" ht="27" customHeight="1" x14ac:dyDescent="0.2">
      <c r="A12" s="1069"/>
      <c r="B12" s="1089"/>
      <c r="C12" s="1098"/>
      <c r="D12" s="740" t="s">
        <v>1938</v>
      </c>
      <c r="E12" s="779">
        <v>449976</v>
      </c>
      <c r="F12" s="1076"/>
      <c r="H12" s="729"/>
      <c r="I12" s="738"/>
      <c r="J12" s="731"/>
      <c r="K12" s="741"/>
      <c r="L12" s="742"/>
      <c r="M12" s="734"/>
    </row>
    <row r="13" spans="1:13" ht="18.75" customHeight="1" x14ac:dyDescent="0.2">
      <c r="A13" s="1069"/>
      <c r="B13" s="1089"/>
      <c r="C13" s="1098"/>
      <c r="D13" s="740" t="s">
        <v>1939</v>
      </c>
      <c r="E13" s="779">
        <v>337865</v>
      </c>
      <c r="F13" s="1076"/>
      <c r="H13" s="729"/>
      <c r="I13" s="730"/>
      <c r="J13" s="743"/>
      <c r="K13" s="732"/>
      <c r="L13" s="744"/>
      <c r="M13" s="734"/>
    </row>
    <row r="14" spans="1:13" ht="18.75" customHeight="1" x14ac:dyDescent="0.2">
      <c r="A14" s="1069"/>
      <c r="B14" s="1089"/>
      <c r="C14" s="1098"/>
      <c r="D14" s="740" t="s">
        <v>1940</v>
      </c>
      <c r="E14" s="779">
        <v>62440</v>
      </c>
      <c r="F14" s="1076"/>
      <c r="H14" s="729"/>
      <c r="I14" s="730"/>
      <c r="J14" s="743"/>
      <c r="K14" s="732"/>
      <c r="L14" s="744"/>
      <c r="M14" s="734"/>
    </row>
    <row r="15" spans="1:13" ht="18.75" customHeight="1" x14ac:dyDescent="0.2">
      <c r="A15" s="1069"/>
      <c r="B15" s="1089"/>
      <c r="C15" s="1099"/>
      <c r="D15" s="745" t="s">
        <v>1572</v>
      </c>
      <c r="E15" s="763">
        <f>SUM(E8:E14)</f>
        <v>2969696</v>
      </c>
      <c r="F15" s="1076"/>
      <c r="H15" s="729"/>
      <c r="I15" s="738"/>
      <c r="J15" s="743"/>
      <c r="K15" s="732"/>
      <c r="L15" s="744"/>
      <c r="M15" s="734"/>
    </row>
    <row r="16" spans="1:13" ht="18.75" customHeight="1" x14ac:dyDescent="0.2">
      <c r="A16" s="1080" t="s">
        <v>4</v>
      </c>
      <c r="B16" s="1088" t="s">
        <v>1574</v>
      </c>
      <c r="C16" s="1064">
        <v>2952111</v>
      </c>
      <c r="D16" s="740" t="s">
        <v>1575</v>
      </c>
      <c r="E16" s="780">
        <v>756954</v>
      </c>
      <c r="F16" s="1076">
        <v>0</v>
      </c>
      <c r="H16" s="729"/>
      <c r="I16" s="738"/>
      <c r="J16" s="743"/>
      <c r="K16" s="732"/>
      <c r="L16" s="744"/>
      <c r="M16" s="734"/>
    </row>
    <row r="17" spans="1:13" ht="18.75" customHeight="1" x14ac:dyDescent="0.2">
      <c r="A17" s="1069"/>
      <c r="B17" s="1089"/>
      <c r="C17" s="1070"/>
      <c r="D17" s="740" t="s">
        <v>1576</v>
      </c>
      <c r="E17" s="780">
        <v>50000</v>
      </c>
      <c r="F17" s="1076"/>
      <c r="H17" s="729"/>
      <c r="I17" s="738"/>
      <c r="J17" s="743"/>
      <c r="K17" s="732"/>
      <c r="L17" s="744"/>
      <c r="M17" s="734"/>
    </row>
    <row r="18" spans="1:13" ht="18.75" customHeight="1" x14ac:dyDescent="0.2">
      <c r="A18" s="1069"/>
      <c r="B18" s="1089"/>
      <c r="C18" s="1070"/>
      <c r="D18" s="740" t="s">
        <v>1577</v>
      </c>
      <c r="E18" s="780">
        <v>265109</v>
      </c>
      <c r="F18" s="1076"/>
      <c r="H18" s="729"/>
      <c r="I18" s="738"/>
      <c r="J18" s="743"/>
      <c r="K18" s="732"/>
      <c r="L18" s="744"/>
      <c r="M18" s="734"/>
    </row>
    <row r="19" spans="1:13" ht="31.5" customHeight="1" x14ac:dyDescent="0.2">
      <c r="A19" s="1069"/>
      <c r="B19" s="1089"/>
      <c r="C19" s="1070"/>
      <c r="D19" s="740" t="s">
        <v>1578</v>
      </c>
      <c r="E19" s="780">
        <v>115138</v>
      </c>
      <c r="F19" s="1076"/>
      <c r="H19" s="729"/>
      <c r="I19" s="738"/>
      <c r="J19" s="743"/>
      <c r="K19" s="732"/>
      <c r="L19" s="744"/>
      <c r="M19" s="734"/>
    </row>
    <row r="20" spans="1:13" ht="18.75" customHeight="1" x14ac:dyDescent="0.2">
      <c r="A20" s="1069"/>
      <c r="B20" s="1089"/>
      <c r="C20" s="1070"/>
      <c r="D20" s="740" t="s">
        <v>1579</v>
      </c>
      <c r="E20" s="780">
        <v>1431329</v>
      </c>
      <c r="F20" s="1076"/>
      <c r="H20" s="729"/>
      <c r="I20" s="738"/>
      <c r="J20" s="743"/>
      <c r="K20" s="732"/>
      <c r="L20" s="744"/>
      <c r="M20" s="734"/>
    </row>
    <row r="21" spans="1:13" ht="27" customHeight="1" x14ac:dyDescent="0.2">
      <c r="A21" s="1069"/>
      <c r="B21" s="1089"/>
      <c r="C21" s="1070"/>
      <c r="D21" s="740" t="s">
        <v>1580</v>
      </c>
      <c r="E21" s="780">
        <v>244106</v>
      </c>
      <c r="F21" s="1076"/>
      <c r="H21" s="729"/>
      <c r="I21" s="738"/>
      <c r="J21" s="743"/>
      <c r="K21" s="732"/>
      <c r="L21" s="744"/>
      <c r="M21" s="734"/>
    </row>
    <row r="22" spans="1:13" ht="18.75" customHeight="1" x14ac:dyDescent="0.2">
      <c r="A22" s="1069"/>
      <c r="B22" s="1089"/>
      <c r="C22" s="1070"/>
      <c r="D22" s="740" t="s">
        <v>1941</v>
      </c>
      <c r="E22" s="780">
        <v>89475</v>
      </c>
      <c r="F22" s="1076"/>
      <c r="H22" s="729"/>
      <c r="I22" s="738"/>
      <c r="J22" s="743"/>
      <c r="K22" s="732"/>
      <c r="L22" s="744"/>
      <c r="M22" s="734"/>
    </row>
    <row r="23" spans="1:13" ht="18.75" customHeight="1" x14ac:dyDescent="0.2">
      <c r="A23" s="1069"/>
      <c r="B23" s="1089"/>
      <c r="C23" s="1070"/>
      <c r="D23" s="745" t="s">
        <v>1572</v>
      </c>
      <c r="E23" s="781">
        <f>SUM(E16:E22)</f>
        <v>2952111</v>
      </c>
      <c r="F23" s="1076"/>
      <c r="H23" s="729"/>
      <c r="I23" s="738"/>
      <c r="J23" s="743"/>
      <c r="K23" s="732"/>
      <c r="L23" s="744"/>
      <c r="M23" s="734"/>
    </row>
    <row r="24" spans="1:13" ht="28.5" customHeight="1" x14ac:dyDescent="0.2">
      <c r="A24" s="747"/>
      <c r="B24" s="748" t="s">
        <v>1581</v>
      </c>
      <c r="C24" s="749">
        <f>SUM(C8:C23)</f>
        <v>5921807</v>
      </c>
      <c r="D24" s="745" t="s">
        <v>1572</v>
      </c>
      <c r="E24" s="781">
        <f>SUM(E23,E15)</f>
        <v>5921807</v>
      </c>
      <c r="F24" s="772"/>
      <c r="H24" s="729"/>
      <c r="I24" s="738"/>
      <c r="J24" s="743"/>
      <c r="K24" s="741"/>
      <c r="L24" s="742"/>
      <c r="M24" s="734"/>
    </row>
    <row r="25" spans="1:13" ht="27.75" customHeight="1" x14ac:dyDescent="0.2">
      <c r="A25" s="1080" t="s">
        <v>5</v>
      </c>
      <c r="B25" s="1082" t="s">
        <v>1582</v>
      </c>
      <c r="C25" s="1084">
        <v>300000</v>
      </c>
      <c r="D25" s="750" t="s">
        <v>1942</v>
      </c>
      <c r="E25" s="780">
        <v>300000</v>
      </c>
      <c r="F25" s="1071">
        <v>0</v>
      </c>
      <c r="H25" s="751"/>
      <c r="I25" s="751"/>
      <c r="J25" s="751"/>
      <c r="K25" s="751"/>
      <c r="L25" s="751"/>
      <c r="M25" s="751"/>
    </row>
    <row r="26" spans="1:13" ht="22.5" customHeight="1" x14ac:dyDescent="0.2">
      <c r="A26" s="1081"/>
      <c r="B26" s="1083"/>
      <c r="C26" s="1085"/>
      <c r="D26" s="745" t="s">
        <v>1572</v>
      </c>
      <c r="E26" s="782">
        <v>300000</v>
      </c>
      <c r="F26" s="1073"/>
      <c r="H26" s="751"/>
      <c r="I26" s="751"/>
      <c r="J26" s="751"/>
      <c r="K26" s="751"/>
      <c r="L26" s="751"/>
      <c r="M26" s="751"/>
    </row>
    <row r="27" spans="1:13" ht="24.95" customHeight="1" x14ac:dyDescent="0.2">
      <c r="A27" s="750" t="s">
        <v>6</v>
      </c>
      <c r="B27" s="753" t="s">
        <v>1583</v>
      </c>
      <c r="C27" s="754">
        <v>1800000</v>
      </c>
      <c r="D27" s="737" t="s">
        <v>1584</v>
      </c>
      <c r="E27" s="779">
        <v>1475000</v>
      </c>
      <c r="F27" s="772"/>
      <c r="H27" s="751"/>
      <c r="I27" s="751"/>
      <c r="J27" s="751"/>
      <c r="K27" s="751"/>
      <c r="L27" s="751"/>
      <c r="M27" s="751"/>
    </row>
    <row r="28" spans="1:13" ht="24.95" customHeight="1" x14ac:dyDescent="0.2">
      <c r="A28" s="750"/>
      <c r="B28" s="753"/>
      <c r="C28" s="754"/>
      <c r="D28" s="737" t="s">
        <v>1585</v>
      </c>
      <c r="E28" s="779">
        <v>494720</v>
      </c>
      <c r="F28" s="772"/>
      <c r="H28" s="751"/>
      <c r="I28" s="751"/>
      <c r="J28" s="751"/>
      <c r="K28" s="751"/>
      <c r="L28" s="751"/>
      <c r="M28" s="751"/>
    </row>
    <row r="29" spans="1:13" ht="24.95" customHeight="1" x14ac:dyDescent="0.2">
      <c r="A29" s="750"/>
      <c r="B29" s="753"/>
      <c r="C29" s="754"/>
      <c r="D29" s="737" t="s">
        <v>1943</v>
      </c>
      <c r="E29" s="779">
        <v>76075</v>
      </c>
      <c r="F29" s="772"/>
      <c r="H29" s="751"/>
      <c r="I29" s="751"/>
      <c r="J29" s="751"/>
      <c r="K29" s="751"/>
      <c r="L29" s="751"/>
      <c r="M29" s="751"/>
    </row>
    <row r="30" spans="1:13" ht="24.95" customHeight="1" x14ac:dyDescent="0.2">
      <c r="A30" s="750"/>
      <c r="B30" s="753"/>
      <c r="C30" s="754"/>
      <c r="D30" s="746" t="s">
        <v>1586</v>
      </c>
      <c r="E30" s="763">
        <f>SUM(E27:E29)</f>
        <v>2045795</v>
      </c>
      <c r="F30" s="772">
        <v>0</v>
      </c>
      <c r="H30" s="751"/>
      <c r="I30" s="751"/>
      <c r="J30" s="751"/>
      <c r="K30" s="751"/>
      <c r="L30" s="751"/>
      <c r="M30" s="751"/>
    </row>
    <row r="31" spans="1:13" ht="34.5" customHeight="1" x14ac:dyDescent="0.2">
      <c r="A31" s="750" t="s">
        <v>8</v>
      </c>
      <c r="B31" s="753" t="s">
        <v>1587</v>
      </c>
      <c r="C31" s="754">
        <v>3116000</v>
      </c>
      <c r="D31" s="740" t="s">
        <v>1944</v>
      </c>
      <c r="E31" s="779">
        <v>1129484</v>
      </c>
      <c r="F31" s="772"/>
      <c r="H31" s="751"/>
      <c r="I31" s="751"/>
      <c r="J31" s="751"/>
      <c r="K31" s="751"/>
      <c r="L31" s="751"/>
      <c r="M31" s="751"/>
    </row>
    <row r="32" spans="1:13" ht="28.5" customHeight="1" x14ac:dyDescent="0.2">
      <c r="A32" s="750"/>
      <c r="B32" s="753"/>
      <c r="C32" s="754"/>
      <c r="D32" s="740" t="s">
        <v>1945</v>
      </c>
      <c r="E32" s="779">
        <v>594880</v>
      </c>
      <c r="F32" s="772"/>
      <c r="H32" s="751"/>
      <c r="I32" s="751"/>
      <c r="J32" s="751"/>
      <c r="K32" s="751"/>
      <c r="L32" s="751"/>
      <c r="M32" s="751"/>
    </row>
    <row r="33" spans="1:13" ht="22.5" customHeight="1" x14ac:dyDescent="0.2">
      <c r="A33" s="750"/>
      <c r="B33" s="753"/>
      <c r="C33" s="754"/>
      <c r="D33" s="740" t="s">
        <v>1588</v>
      </c>
      <c r="E33" s="779">
        <v>114178</v>
      </c>
      <c r="F33" s="772"/>
      <c r="H33" s="751"/>
      <c r="I33" s="751"/>
      <c r="J33" s="751"/>
      <c r="K33" s="751"/>
      <c r="L33" s="751"/>
      <c r="M33" s="751"/>
    </row>
    <row r="34" spans="1:13" ht="22.5" customHeight="1" x14ac:dyDescent="0.2">
      <c r="A34" s="750"/>
      <c r="B34" s="753"/>
      <c r="C34" s="754"/>
      <c r="D34" s="740" t="s">
        <v>1589</v>
      </c>
      <c r="E34" s="779">
        <v>115571</v>
      </c>
      <c r="F34" s="772"/>
      <c r="H34" s="751"/>
      <c r="I34" s="751"/>
      <c r="J34" s="751"/>
      <c r="K34" s="751"/>
      <c r="L34" s="751"/>
      <c r="M34" s="751"/>
    </row>
    <row r="35" spans="1:13" ht="22.5" customHeight="1" x14ac:dyDescent="0.2">
      <c r="A35" s="750"/>
      <c r="B35" s="753"/>
      <c r="C35" s="754"/>
      <c r="D35" s="740" t="s">
        <v>1946</v>
      </c>
      <c r="E35" s="779">
        <v>878680</v>
      </c>
      <c r="F35" s="772"/>
      <c r="H35" s="751"/>
      <c r="I35" s="751"/>
      <c r="J35" s="751"/>
      <c r="K35" s="751"/>
      <c r="L35" s="751"/>
      <c r="M35" s="751"/>
    </row>
    <row r="36" spans="1:13" ht="22.5" customHeight="1" x14ac:dyDescent="0.2">
      <c r="A36" s="750"/>
      <c r="B36" s="753"/>
      <c r="C36" s="754"/>
      <c r="D36" s="745" t="s">
        <v>1572</v>
      </c>
      <c r="E36" s="763">
        <f>SUM(E31:E35)</f>
        <v>2832793</v>
      </c>
      <c r="F36" s="772">
        <f>SUM(C31-E36)</f>
        <v>283207</v>
      </c>
      <c r="H36" s="751"/>
      <c r="I36" s="751"/>
      <c r="J36" s="751"/>
      <c r="K36" s="751"/>
      <c r="L36" s="751"/>
      <c r="M36" s="751"/>
    </row>
    <row r="37" spans="1:13" ht="22.5" customHeight="1" x14ac:dyDescent="0.2">
      <c r="A37" s="1080" t="s">
        <v>21</v>
      </c>
      <c r="B37" s="1062" t="s">
        <v>1591</v>
      </c>
      <c r="C37" s="1084">
        <v>500000</v>
      </c>
      <c r="D37" s="739" t="s">
        <v>1947</v>
      </c>
      <c r="E37" s="779">
        <v>101600</v>
      </c>
      <c r="F37" s="1071">
        <v>0</v>
      </c>
      <c r="H37" s="751"/>
      <c r="I37" s="751"/>
      <c r="J37" s="751"/>
      <c r="K37" s="751"/>
      <c r="L37" s="751"/>
      <c r="M37" s="751"/>
    </row>
    <row r="38" spans="1:13" ht="22.5" customHeight="1" x14ac:dyDescent="0.2">
      <c r="A38" s="1086"/>
      <c r="B38" s="1069"/>
      <c r="C38" s="1087"/>
      <c r="D38" s="739" t="s">
        <v>1948</v>
      </c>
      <c r="E38" s="779">
        <v>344035</v>
      </c>
      <c r="F38" s="1072"/>
      <c r="H38" s="751"/>
      <c r="I38" s="751"/>
      <c r="J38" s="751"/>
      <c r="K38" s="751"/>
      <c r="L38" s="751"/>
      <c r="M38" s="751"/>
    </row>
    <row r="39" spans="1:13" ht="22.5" customHeight="1" x14ac:dyDescent="0.2">
      <c r="A39" s="1086"/>
      <c r="B39" s="1069"/>
      <c r="C39" s="1087"/>
      <c r="D39" s="739" t="s">
        <v>1949</v>
      </c>
      <c r="E39" s="779">
        <v>80000</v>
      </c>
      <c r="F39" s="1072"/>
      <c r="H39" s="751"/>
      <c r="I39" s="751"/>
      <c r="J39" s="751"/>
      <c r="K39" s="751"/>
      <c r="L39" s="751"/>
      <c r="M39" s="751"/>
    </row>
    <row r="40" spans="1:13" ht="22.5" customHeight="1" x14ac:dyDescent="0.2">
      <c r="A40" s="1081"/>
      <c r="B40" s="1063"/>
      <c r="C40" s="1085"/>
      <c r="D40" s="745" t="s">
        <v>1572</v>
      </c>
      <c r="E40" s="763">
        <f>SUM(E37:E39)</f>
        <v>525635</v>
      </c>
      <c r="F40" s="1073"/>
      <c r="H40" s="751"/>
      <c r="I40" s="751"/>
      <c r="J40" s="751"/>
      <c r="K40" s="751"/>
      <c r="L40" s="751"/>
      <c r="M40" s="751"/>
    </row>
    <row r="41" spans="1:13" ht="22.5" customHeight="1" x14ac:dyDescent="0.25">
      <c r="A41" s="747"/>
      <c r="B41" s="755" t="s">
        <v>1569</v>
      </c>
      <c r="C41" s="756">
        <f>SUM(C37+C31+C27+C25+C24)</f>
        <v>11637807</v>
      </c>
      <c r="D41" s="757"/>
      <c r="E41" s="758">
        <f>E40+E30+E26+E23+L24+L12+E15+E36</f>
        <v>11626030</v>
      </c>
      <c r="F41" s="772">
        <v>0</v>
      </c>
      <c r="H41" s="751"/>
      <c r="I41" s="751"/>
      <c r="J41" s="751"/>
      <c r="K41" s="751"/>
      <c r="L41" s="751"/>
      <c r="M41" s="751"/>
    </row>
    <row r="42" spans="1:13" ht="27.75" customHeight="1" x14ac:dyDescent="0.2">
      <c r="A42" s="1077" t="s">
        <v>17</v>
      </c>
      <c r="B42" s="1062" t="s">
        <v>1592</v>
      </c>
      <c r="C42" s="1064">
        <v>300000</v>
      </c>
      <c r="D42" s="740" t="s">
        <v>1593</v>
      </c>
      <c r="E42" s="780">
        <v>100630</v>
      </c>
      <c r="F42" s="1071">
        <v>0</v>
      </c>
    </row>
    <row r="43" spans="1:13" ht="27.75" customHeight="1" x14ac:dyDescent="0.2">
      <c r="A43" s="1078"/>
      <c r="B43" s="1069"/>
      <c r="C43" s="1070"/>
      <c r="D43" s="740" t="s">
        <v>1594</v>
      </c>
      <c r="E43" s="780">
        <v>134695</v>
      </c>
      <c r="F43" s="1072"/>
    </row>
    <row r="44" spans="1:13" ht="22.5" customHeight="1" x14ac:dyDescent="0.2">
      <c r="A44" s="1078"/>
      <c r="B44" s="1069"/>
      <c r="C44" s="1070"/>
      <c r="D44" s="740" t="s">
        <v>1573</v>
      </c>
      <c r="E44" s="780">
        <v>46675</v>
      </c>
      <c r="F44" s="1072"/>
    </row>
    <row r="45" spans="1:13" ht="22.5" customHeight="1" x14ac:dyDescent="0.2">
      <c r="A45" s="1078"/>
      <c r="B45" s="1069"/>
      <c r="C45" s="1070"/>
      <c r="D45" s="740" t="s">
        <v>1950</v>
      </c>
      <c r="E45" s="780">
        <v>18000</v>
      </c>
      <c r="F45" s="1072"/>
    </row>
    <row r="46" spans="1:13" ht="22.5" customHeight="1" x14ac:dyDescent="0.2">
      <c r="A46" s="1079"/>
      <c r="B46" s="1063"/>
      <c r="C46" s="1065"/>
      <c r="D46" s="745" t="s">
        <v>1572</v>
      </c>
      <c r="E46" s="782">
        <f>SUM(E42:E45)</f>
        <v>300000</v>
      </c>
      <c r="F46" s="1073"/>
    </row>
    <row r="47" spans="1:13" ht="27.75" customHeight="1" x14ac:dyDescent="0.2">
      <c r="A47" s="1066" t="s">
        <v>22</v>
      </c>
      <c r="B47" s="1062" t="s">
        <v>1951</v>
      </c>
      <c r="C47" s="1064">
        <v>200000</v>
      </c>
      <c r="D47" s="759" t="s">
        <v>1952</v>
      </c>
      <c r="E47" s="780">
        <v>215500</v>
      </c>
      <c r="F47" s="1071">
        <v>0</v>
      </c>
    </row>
    <row r="48" spans="1:13" ht="22.5" customHeight="1" x14ac:dyDescent="0.2">
      <c r="A48" s="1068"/>
      <c r="B48" s="1063"/>
      <c r="C48" s="1065"/>
      <c r="D48" s="745" t="s">
        <v>1572</v>
      </c>
      <c r="E48" s="782">
        <f>SUM(E47)</f>
        <v>215500</v>
      </c>
      <c r="F48" s="1073"/>
    </row>
    <row r="49" spans="1:6" ht="22.5" customHeight="1" x14ac:dyDescent="0.2">
      <c r="A49" s="1066" t="s">
        <v>257</v>
      </c>
      <c r="B49" s="1062" t="s">
        <v>1595</v>
      </c>
      <c r="C49" s="1064">
        <v>150000</v>
      </c>
      <c r="D49" s="657" t="s">
        <v>1596</v>
      </c>
      <c r="E49" s="780">
        <v>38593</v>
      </c>
      <c r="F49" s="1071">
        <v>0</v>
      </c>
    </row>
    <row r="50" spans="1:6" ht="22.5" customHeight="1" x14ac:dyDescent="0.2">
      <c r="A50" s="1067"/>
      <c r="B50" s="1069"/>
      <c r="C50" s="1070"/>
      <c r="D50" s="657" t="s">
        <v>1953</v>
      </c>
      <c r="E50" s="780">
        <v>48964</v>
      </c>
      <c r="F50" s="1072"/>
    </row>
    <row r="51" spans="1:6" ht="22.5" customHeight="1" x14ac:dyDescent="0.2">
      <c r="A51" s="1067"/>
      <c r="B51" s="1069"/>
      <c r="C51" s="1070"/>
      <c r="D51" s="657" t="s">
        <v>1954</v>
      </c>
      <c r="E51" s="780">
        <v>32183</v>
      </c>
      <c r="F51" s="1072"/>
    </row>
    <row r="52" spans="1:6" ht="22.5" customHeight="1" x14ac:dyDescent="0.2">
      <c r="A52" s="1067"/>
      <c r="B52" s="1069"/>
      <c r="C52" s="1070"/>
      <c r="D52" s="657" t="s">
        <v>1955</v>
      </c>
      <c r="E52" s="780">
        <v>3290</v>
      </c>
      <c r="F52" s="1072"/>
    </row>
    <row r="53" spans="1:6" ht="22.5" customHeight="1" x14ac:dyDescent="0.2">
      <c r="A53" s="1067"/>
      <c r="B53" s="1069"/>
      <c r="C53" s="1070"/>
      <c r="D53" s="657" t="s">
        <v>1956</v>
      </c>
      <c r="E53" s="780">
        <v>26970</v>
      </c>
      <c r="F53" s="1072"/>
    </row>
    <row r="54" spans="1:6" ht="22.5" customHeight="1" x14ac:dyDescent="0.2">
      <c r="A54" s="1068"/>
      <c r="B54" s="1063"/>
      <c r="C54" s="1065"/>
      <c r="D54" s="745" t="s">
        <v>1572</v>
      </c>
      <c r="E54" s="782">
        <f>SUM(E49:E53)</f>
        <v>150000</v>
      </c>
      <c r="F54" s="1073"/>
    </row>
    <row r="55" spans="1:6" ht="22.5" customHeight="1" x14ac:dyDescent="0.2">
      <c r="A55" s="1074" t="s">
        <v>18</v>
      </c>
      <c r="B55" s="1062" t="s">
        <v>1597</v>
      </c>
      <c r="C55" s="1075">
        <v>400000</v>
      </c>
      <c r="D55" s="740" t="s">
        <v>1957</v>
      </c>
      <c r="E55" s="780">
        <v>266854</v>
      </c>
      <c r="F55" s="1076">
        <f>SUM(C55-E58)</f>
        <v>0</v>
      </c>
    </row>
    <row r="56" spans="1:6" ht="22.5" customHeight="1" x14ac:dyDescent="0.2">
      <c r="A56" s="1061"/>
      <c r="B56" s="1069"/>
      <c r="C56" s="1075"/>
      <c r="D56" s="740" t="s">
        <v>1573</v>
      </c>
      <c r="E56" s="780">
        <v>60000</v>
      </c>
      <c r="F56" s="1076"/>
    </row>
    <row r="57" spans="1:6" ht="21" customHeight="1" x14ac:dyDescent="0.2">
      <c r="A57" s="1061"/>
      <c r="B57" s="1069"/>
      <c r="C57" s="1075"/>
      <c r="D57" s="740" t="s">
        <v>1958</v>
      </c>
      <c r="E57" s="780">
        <v>73146</v>
      </c>
      <c r="F57" s="1076"/>
    </row>
    <row r="58" spans="1:6" ht="22.5" customHeight="1" x14ac:dyDescent="0.2">
      <c r="A58" s="1061"/>
      <c r="B58" s="1069"/>
      <c r="C58" s="1075"/>
      <c r="D58" s="745" t="s">
        <v>1572</v>
      </c>
      <c r="E58" s="782">
        <f>SUM(E55:E57)</f>
        <v>400000</v>
      </c>
      <c r="F58" s="1076"/>
    </row>
    <row r="59" spans="1:6" ht="22.5" customHeight="1" x14ac:dyDescent="0.2">
      <c r="A59" s="1061" t="s">
        <v>35</v>
      </c>
      <c r="B59" s="1062" t="s">
        <v>1959</v>
      </c>
      <c r="C59" s="1064">
        <v>200000</v>
      </c>
      <c r="D59" s="759" t="s">
        <v>1960</v>
      </c>
      <c r="E59" s="780">
        <v>254000</v>
      </c>
      <c r="F59" s="772"/>
    </row>
    <row r="60" spans="1:6" ht="22.5" customHeight="1" x14ac:dyDescent="0.2">
      <c r="A60" s="1061"/>
      <c r="B60" s="1063"/>
      <c r="C60" s="1065"/>
      <c r="D60" s="760" t="s">
        <v>1572</v>
      </c>
      <c r="E60" s="782">
        <f>SUM(E59)</f>
        <v>254000</v>
      </c>
      <c r="F60" s="772">
        <v>0</v>
      </c>
    </row>
    <row r="61" spans="1:6" ht="22.5" customHeight="1" x14ac:dyDescent="0.25">
      <c r="A61" s="737"/>
      <c r="B61" s="761" t="s">
        <v>1598</v>
      </c>
      <c r="C61" s="756">
        <f>SUM(C42:C60)</f>
        <v>1250000</v>
      </c>
      <c r="D61" s="762"/>
      <c r="E61" s="783">
        <f>E58+E54+E48+E46+E60</f>
        <v>1319500</v>
      </c>
      <c r="F61" s="779">
        <v>0</v>
      </c>
    </row>
    <row r="62" spans="1:6" ht="22.5" customHeight="1" x14ac:dyDescent="0.25">
      <c r="A62" s="737"/>
      <c r="B62" s="761" t="s">
        <v>1599</v>
      </c>
      <c r="C62" s="756">
        <f>C61+C41</f>
        <v>12887807</v>
      </c>
      <c r="D62" s="762"/>
      <c r="E62" s="783">
        <f>E61+E41</f>
        <v>12945530</v>
      </c>
      <c r="F62" s="779"/>
    </row>
    <row r="63" spans="1:6" ht="22.5" customHeight="1" x14ac:dyDescent="0.2">
      <c r="A63" s="737"/>
      <c r="B63" s="752"/>
      <c r="C63" s="763"/>
      <c r="D63" s="737"/>
      <c r="E63" s="779"/>
      <c r="F63" s="779"/>
    </row>
    <row r="64" spans="1:6" x14ac:dyDescent="0.2">
      <c r="C64" s="658"/>
    </row>
    <row r="65" spans="3:3" x14ac:dyDescent="0.2">
      <c r="C65" s="658"/>
    </row>
    <row r="66" spans="3:3" x14ac:dyDescent="0.2">
      <c r="C66" s="658"/>
    </row>
    <row r="67" spans="3:3" x14ac:dyDescent="0.2">
      <c r="C67" s="658"/>
    </row>
    <row r="68" spans="3:3" x14ac:dyDescent="0.2">
      <c r="C68" s="658"/>
    </row>
    <row r="69" spans="3:3" x14ac:dyDescent="0.2">
      <c r="C69" s="658"/>
    </row>
    <row r="70" spans="3:3" x14ac:dyDescent="0.2">
      <c r="C70" s="658"/>
    </row>
    <row r="71" spans="3:3" x14ac:dyDescent="0.2">
      <c r="C71" s="658"/>
    </row>
    <row r="72" spans="3:3" x14ac:dyDescent="0.2">
      <c r="C72" s="658"/>
    </row>
    <row r="73" spans="3:3" x14ac:dyDescent="0.2">
      <c r="C73" s="658"/>
    </row>
    <row r="74" spans="3:3" x14ac:dyDescent="0.2">
      <c r="C74" s="658"/>
    </row>
    <row r="75" spans="3:3" x14ac:dyDescent="0.2">
      <c r="C75" s="658"/>
    </row>
  </sheetData>
  <mergeCells count="43">
    <mergeCell ref="A16:A23"/>
    <mergeCell ref="B16:B23"/>
    <mergeCell ref="C16:C23"/>
    <mergeCell ref="F16:F23"/>
    <mergeCell ref="A1:E1"/>
    <mergeCell ref="A2:E2"/>
    <mergeCell ref="A5:A6"/>
    <mergeCell ref="B5:B6"/>
    <mergeCell ref="C5:C6"/>
    <mergeCell ref="D5:D6"/>
    <mergeCell ref="E5:E6"/>
    <mergeCell ref="F5:F6"/>
    <mergeCell ref="F7:F15"/>
    <mergeCell ref="A8:A15"/>
    <mergeCell ref="B8:B15"/>
    <mergeCell ref="C8:C15"/>
    <mergeCell ref="A25:A26"/>
    <mergeCell ref="B25:B26"/>
    <mergeCell ref="C25:C26"/>
    <mergeCell ref="F25:F26"/>
    <mergeCell ref="A37:A40"/>
    <mergeCell ref="B37:B40"/>
    <mergeCell ref="C37:C40"/>
    <mergeCell ref="F37:F40"/>
    <mergeCell ref="A42:A46"/>
    <mergeCell ref="B42:B46"/>
    <mergeCell ref="C42:C46"/>
    <mergeCell ref="F42:F46"/>
    <mergeCell ref="A47:A48"/>
    <mergeCell ref="B47:B48"/>
    <mergeCell ref="C47:C48"/>
    <mergeCell ref="F47:F48"/>
    <mergeCell ref="F49:F54"/>
    <mergeCell ref="A55:A58"/>
    <mergeCell ref="B55:B58"/>
    <mergeCell ref="C55:C58"/>
    <mergeCell ref="F55:F58"/>
    <mergeCell ref="A59:A60"/>
    <mergeCell ref="B59:B60"/>
    <mergeCell ref="C59:C60"/>
    <mergeCell ref="A49:A54"/>
    <mergeCell ref="B49:B54"/>
    <mergeCell ref="C49:C54"/>
  </mergeCells>
  <printOptions horizontalCentered="1"/>
  <pageMargins left="0.39370078740157483" right="0.31496062992125984" top="0.6692913385826772" bottom="0.19685039370078741" header="0.23622047244094491" footer="0.15748031496062992"/>
  <pageSetup paperSize="9" scale="79" fitToHeight="0" orientation="portrait" r:id="rId1"/>
  <headerFooter alignWithMargins="0">
    <oddHeader>&amp;R25/a sz.melléklet</oddHeader>
  </headerFooter>
  <rowBreaks count="2" manualBreakCount="2">
    <brk id="41" max="16383" man="1"/>
    <brk id="6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246"/>
  <sheetViews>
    <sheetView topLeftCell="C22" zoomScaleNormal="100" zoomScaleSheetLayoutView="100" workbookViewId="0">
      <selection activeCell="L11" sqref="L11"/>
    </sheetView>
  </sheetViews>
  <sheetFormatPr defaultRowHeight="12.75" x14ac:dyDescent="0.2"/>
  <cols>
    <col min="1" max="1" width="4.5703125" customWidth="1"/>
    <col min="2" max="2" width="44.85546875" customWidth="1"/>
    <col min="3" max="3" width="16.85546875" bestFit="1" customWidth="1"/>
    <col min="4" max="4" width="16.140625" customWidth="1"/>
    <col min="5" max="5" width="17.28515625" customWidth="1"/>
    <col min="6" max="6" width="16" customWidth="1"/>
    <col min="7" max="7" width="16.140625" customWidth="1"/>
    <col min="8" max="8" width="16.85546875" bestFit="1" customWidth="1"/>
    <col min="9" max="9" width="5.7109375" customWidth="1"/>
    <col min="10" max="10" width="50.42578125" bestFit="1" customWidth="1"/>
    <col min="11" max="11" width="17" customWidth="1"/>
    <col min="12" max="12" width="17.5703125" customWidth="1"/>
    <col min="13" max="13" width="17.28515625" customWidth="1"/>
    <col min="14" max="14" width="16.85546875" bestFit="1" customWidth="1"/>
    <col min="15" max="15" width="17.28515625" customWidth="1"/>
    <col min="16" max="16" width="16.85546875" bestFit="1" customWidth="1"/>
  </cols>
  <sheetData>
    <row r="1" spans="1:16" ht="12.95" customHeight="1" x14ac:dyDescent="0.2">
      <c r="A1" s="853" t="s">
        <v>16</v>
      </c>
      <c r="B1" s="851" t="s">
        <v>1</v>
      </c>
      <c r="C1" s="848" t="s">
        <v>246</v>
      </c>
      <c r="D1" s="848" t="s">
        <v>316</v>
      </c>
      <c r="E1" s="818" t="s">
        <v>783</v>
      </c>
      <c r="F1" s="818" t="s">
        <v>784</v>
      </c>
      <c r="G1" s="818" t="s">
        <v>789</v>
      </c>
      <c r="H1" s="818" t="s">
        <v>790</v>
      </c>
      <c r="I1" s="853" t="s">
        <v>16</v>
      </c>
      <c r="J1" s="851" t="s">
        <v>1</v>
      </c>
      <c r="K1" s="848" t="s">
        <v>246</v>
      </c>
      <c r="L1" s="848" t="s">
        <v>316</v>
      </c>
      <c r="M1" s="818" t="s">
        <v>785</v>
      </c>
      <c r="N1" s="818" t="s">
        <v>786</v>
      </c>
      <c r="O1" s="818" t="s">
        <v>791</v>
      </c>
      <c r="P1" s="818" t="s">
        <v>792</v>
      </c>
    </row>
    <row r="2" spans="1:16" ht="15" customHeight="1" x14ac:dyDescent="0.2">
      <c r="A2" s="854"/>
      <c r="B2" s="852"/>
      <c r="C2" s="849"/>
      <c r="D2" s="849"/>
      <c r="E2" s="819"/>
      <c r="F2" s="819"/>
      <c r="G2" s="819"/>
      <c r="H2" s="819"/>
      <c r="I2" s="854"/>
      <c r="J2" s="852"/>
      <c r="K2" s="849"/>
      <c r="L2" s="849"/>
      <c r="M2" s="819"/>
      <c r="N2" s="819"/>
      <c r="O2" s="819"/>
      <c r="P2" s="819"/>
    </row>
    <row r="3" spans="1:16" ht="15" customHeight="1" x14ac:dyDescent="0.2">
      <c r="A3" s="850" t="s">
        <v>45</v>
      </c>
      <c r="B3" s="850"/>
      <c r="C3" s="147"/>
      <c r="D3" s="247"/>
      <c r="E3" s="378"/>
      <c r="F3" s="482"/>
      <c r="G3" s="482"/>
      <c r="H3" s="482"/>
      <c r="I3" s="850" t="s">
        <v>24</v>
      </c>
      <c r="J3" s="850"/>
      <c r="K3" s="133"/>
      <c r="L3" s="133"/>
      <c r="M3" s="133"/>
      <c r="N3" s="133"/>
      <c r="O3" s="133"/>
      <c r="P3" s="133"/>
    </row>
    <row r="4" spans="1:16" ht="15" customHeight="1" x14ac:dyDescent="0.2">
      <c r="A4" s="58" t="s">
        <v>67</v>
      </c>
      <c r="B4" s="5" t="s">
        <v>61</v>
      </c>
      <c r="C4" s="2"/>
      <c r="D4" s="2"/>
      <c r="E4" s="2"/>
      <c r="F4" s="2"/>
      <c r="G4" s="2"/>
      <c r="H4" s="2"/>
      <c r="I4" s="58" t="s">
        <v>67</v>
      </c>
      <c r="J4" s="5" t="s">
        <v>61</v>
      </c>
      <c r="K4" s="2"/>
      <c r="L4" s="2"/>
      <c r="M4" s="2"/>
      <c r="N4" s="2"/>
      <c r="O4" s="2"/>
      <c r="P4" s="2"/>
    </row>
    <row r="5" spans="1:16" ht="15" customHeight="1" x14ac:dyDescent="0.2">
      <c r="A5" s="58"/>
      <c r="B5" s="134" t="s">
        <v>272</v>
      </c>
      <c r="C5" s="135">
        <f>'3.sz.m.bevételek jogcímenként'!C30</f>
        <v>350240394</v>
      </c>
      <c r="D5" s="135">
        <f>'3.sz.m.bevételek jogcímenként'!D30</f>
        <v>432042145</v>
      </c>
      <c r="E5" s="135">
        <f>'3.sz.m.bevételek jogcímenként'!E30</f>
        <v>448468874</v>
      </c>
      <c r="F5" s="135">
        <f>'3.sz.m.bevételek jogcímenként'!F30</f>
        <v>464862149</v>
      </c>
      <c r="G5" s="135">
        <f>'3.sz.m.bevételek jogcímenként'!G30</f>
        <v>512547345</v>
      </c>
      <c r="H5" s="135">
        <f>'3.sz.m.bevételek jogcímenként'!H30</f>
        <v>509459339</v>
      </c>
      <c r="I5" s="58"/>
      <c r="J5" s="134" t="s">
        <v>194</v>
      </c>
      <c r="K5" s="135">
        <f>'4.a. sz.m.egyéb műk.kiadás '!C8</f>
        <v>387317283</v>
      </c>
      <c r="L5" s="135">
        <f>'4.a. sz.m.egyéb műk.kiadás '!D8</f>
        <v>409591794</v>
      </c>
      <c r="M5" s="135">
        <f>'4.a. sz.m.egyéb műk.kiadás '!E8</f>
        <v>467125391</v>
      </c>
      <c r="N5" s="135">
        <f>'4.a. sz.m.egyéb műk.kiadás '!F8</f>
        <v>485576784</v>
      </c>
      <c r="O5" s="135">
        <f>'4.a. sz.m.egyéb műk.kiadás '!G8</f>
        <v>464960313</v>
      </c>
      <c r="P5" s="135">
        <f>'4.a. sz.m.egyéb műk.kiadás '!H8</f>
        <v>406049185</v>
      </c>
    </row>
    <row r="6" spans="1:16" ht="15" customHeight="1" x14ac:dyDescent="0.2">
      <c r="A6" s="58"/>
      <c r="B6" s="136" t="s">
        <v>273</v>
      </c>
      <c r="C6" s="87">
        <f>'3.sz.m.bevételek jogcímenként'!C50</f>
        <v>410000000</v>
      </c>
      <c r="D6" s="87">
        <f>'3.sz.m.bevételek jogcímenként'!D50</f>
        <v>473500000</v>
      </c>
      <c r="E6" s="87">
        <f>'3.sz.m.bevételek jogcímenként'!E50</f>
        <v>473500000</v>
      </c>
      <c r="F6" s="87">
        <f>'3.sz.m.bevételek jogcímenként'!F50</f>
        <v>473500000</v>
      </c>
      <c r="G6" s="87">
        <f>'3.sz.m.bevételek jogcímenként'!G50</f>
        <v>561780529</v>
      </c>
      <c r="H6" s="87">
        <f>'3.sz.m.bevételek jogcímenként'!H50</f>
        <v>561780529</v>
      </c>
      <c r="I6" s="58"/>
      <c r="J6" s="136" t="s">
        <v>195</v>
      </c>
      <c r="K6" s="135">
        <f>'4.a. sz.m.egyéb műk.kiadás '!C9</f>
        <v>8500000</v>
      </c>
      <c r="L6" s="135">
        <f>'4.a. sz.m.egyéb műk.kiadás '!D9</f>
        <v>7500000</v>
      </c>
      <c r="M6" s="135">
        <f>'4.a. sz.m.egyéb műk.kiadás '!E9</f>
        <v>7500000</v>
      </c>
      <c r="N6" s="135">
        <f>'4.a. sz.m.egyéb műk.kiadás '!F9</f>
        <v>7204420</v>
      </c>
      <c r="O6" s="135">
        <f>'4.a. sz.m.egyéb műk.kiadás '!G9</f>
        <v>7334420</v>
      </c>
      <c r="P6" s="135">
        <f>'4.a. sz.m.egyéb műk.kiadás '!H9</f>
        <v>4727306</v>
      </c>
    </row>
    <row r="7" spans="1:16" ht="15" customHeight="1" x14ac:dyDescent="0.2">
      <c r="A7" s="58"/>
      <c r="B7" s="134" t="s">
        <v>274</v>
      </c>
      <c r="C7" s="87">
        <f>'3.sz.m.bevételek jogcímenként'!C51</f>
        <v>74320128</v>
      </c>
      <c r="D7" s="87">
        <f>'3.sz.m.bevételek jogcímenként'!D51</f>
        <v>80313766</v>
      </c>
      <c r="E7" s="87">
        <f>'3.sz.m.bevételek jogcímenként'!E51</f>
        <v>80313766</v>
      </c>
      <c r="F7" s="87">
        <f>'3.sz.m.bevételek jogcímenként'!F51</f>
        <v>81237279</v>
      </c>
      <c r="G7" s="87">
        <f>'3.sz.m.bevételek jogcímenként'!G51</f>
        <v>89038368</v>
      </c>
      <c r="H7" s="87">
        <f>'3.sz.m.bevételek jogcímenként'!H51</f>
        <v>74176563</v>
      </c>
      <c r="I7" s="58"/>
      <c r="J7" s="134" t="s">
        <v>196</v>
      </c>
      <c r="K7" s="87">
        <f>'4.a. sz.m.egyéb műk.kiadás '!C19</f>
        <v>26794000</v>
      </c>
      <c r="L7" s="87">
        <f>'4.a. sz.m.egyéb műk.kiadás '!D19</f>
        <v>51316408</v>
      </c>
      <c r="M7" s="87">
        <f>'4.a. sz.m.egyéb műk.kiadás '!E19</f>
        <v>56458264</v>
      </c>
      <c r="N7" s="87">
        <f>'4.a. sz.m.egyéb műk.kiadás '!F19</f>
        <v>55173162</v>
      </c>
      <c r="O7" s="87">
        <f>'4.a. sz.m.egyéb műk.kiadás '!G19</f>
        <v>60405414</v>
      </c>
      <c r="P7" s="87">
        <f>'4.a. sz.m.egyéb műk.kiadás '!H19</f>
        <v>60255414</v>
      </c>
    </row>
    <row r="8" spans="1:16" ht="15" customHeight="1" x14ac:dyDescent="0.2">
      <c r="A8" s="58"/>
      <c r="B8" s="134" t="s">
        <v>275</v>
      </c>
      <c r="C8" s="87">
        <v>10000</v>
      </c>
      <c r="D8" s="87">
        <f>'3.a.sz.m.bevételek cofog'!Z63</f>
        <v>0</v>
      </c>
      <c r="E8" s="87">
        <v>0</v>
      </c>
      <c r="F8" s="87">
        <v>0</v>
      </c>
      <c r="G8" s="87">
        <v>0</v>
      </c>
      <c r="H8" s="87">
        <v>0</v>
      </c>
      <c r="I8" s="58"/>
      <c r="J8" s="134" t="s">
        <v>197</v>
      </c>
      <c r="K8" s="87">
        <f>'4.a. sz.m.egyéb műk.kiadás '!C39</f>
        <v>60000000</v>
      </c>
      <c r="L8" s="87">
        <f>'4.a. sz.m.egyéb műk.kiadás '!D39</f>
        <v>78000000</v>
      </c>
      <c r="M8" s="87">
        <f>'4.a. sz.m.egyéb műk.kiadás '!E39</f>
        <v>96072907</v>
      </c>
      <c r="N8" s="87">
        <f>'4.a. sz.m.egyéb műk.kiadás '!F39</f>
        <v>96272907</v>
      </c>
      <c r="O8" s="87">
        <f>'4.a. sz.m.egyéb műk.kiadás '!G39</f>
        <v>99197807</v>
      </c>
      <c r="P8" s="87">
        <f>'4.a. sz.m.egyéb műk.kiadás '!H39</f>
        <v>96197807</v>
      </c>
    </row>
    <row r="9" spans="1:16" ht="15" customHeight="1" x14ac:dyDescent="0.2">
      <c r="A9" s="58"/>
      <c r="B9" s="31" t="s">
        <v>346</v>
      </c>
      <c r="C9" s="87">
        <f>'3.sz.m.bevételek jogcímenként'!C56</f>
        <v>570000</v>
      </c>
      <c r="D9" s="87">
        <f>'3.sz.m.bevételek jogcímenként'!D56</f>
        <v>370000</v>
      </c>
      <c r="E9" s="87">
        <f>'3.sz.m.bevételek jogcímenként'!E56</f>
        <v>370000</v>
      </c>
      <c r="F9" s="87">
        <f>'3.sz.m.bevételek jogcímenként'!F56</f>
        <v>370000</v>
      </c>
      <c r="G9" s="87">
        <f>'3.sz.m.bevételek jogcímenként'!G56</f>
        <v>1272116</v>
      </c>
      <c r="H9" s="87">
        <f>'3.sz.m.bevételek jogcímenként'!H56</f>
        <v>1272116</v>
      </c>
      <c r="I9" s="58"/>
      <c r="J9" s="31" t="s">
        <v>198</v>
      </c>
      <c r="K9" s="132">
        <f>'4.a. sz.m.egyéb műk.kiadás '!C42</f>
        <v>1000000</v>
      </c>
      <c r="L9" s="132">
        <f>'4.a. sz.m.egyéb műk.kiadás '!D42</f>
        <v>1000000</v>
      </c>
      <c r="M9" s="132">
        <f>'4.a. sz.m.egyéb műk.kiadás '!E42</f>
        <v>1000000</v>
      </c>
      <c r="N9" s="132">
        <f>'4.a. sz.m.egyéb műk.kiadás '!F42</f>
        <v>1000000</v>
      </c>
      <c r="O9" s="132">
        <f>'4.a. sz.m.egyéb műk.kiadás '!G42</f>
        <v>1000000</v>
      </c>
      <c r="P9" s="132">
        <f>'4.a. sz.m.egyéb műk.kiadás '!H42</f>
        <v>342000</v>
      </c>
    </row>
    <row r="10" spans="1:16" ht="15" customHeight="1" x14ac:dyDescent="0.2">
      <c r="A10" s="58"/>
      <c r="B10" s="5"/>
      <c r="C10" s="87"/>
      <c r="D10" s="87"/>
      <c r="E10" s="87"/>
      <c r="F10" s="87"/>
      <c r="G10" s="87"/>
      <c r="H10" s="87"/>
      <c r="I10" s="58"/>
      <c r="J10" s="31" t="s">
        <v>279</v>
      </c>
      <c r="K10" s="87">
        <f>'4.a. sz.m.egyéb műk.kiadás '!C43</f>
        <v>0</v>
      </c>
      <c r="L10" s="87">
        <f>'4.a. sz.m.egyéb műk.kiadás '!D43</f>
        <v>0</v>
      </c>
      <c r="M10" s="87">
        <f>'4.a. sz.m.egyéb műk.kiadás '!E43</f>
        <v>0</v>
      </c>
      <c r="N10" s="87">
        <f>'4.a. sz.m.egyéb műk.kiadás '!F43</f>
        <v>0</v>
      </c>
      <c r="O10" s="87">
        <f>'4.a. sz.m.egyéb műk.kiadás '!G43</f>
        <v>0</v>
      </c>
      <c r="P10" s="87">
        <f>'4.a. sz.m.egyéb műk.kiadás '!H43</f>
        <v>0</v>
      </c>
    </row>
    <row r="11" spans="1:16" ht="15" customHeight="1" x14ac:dyDescent="0.2">
      <c r="A11" s="58"/>
      <c r="B11" s="31"/>
      <c r="C11" s="132"/>
      <c r="D11" s="132"/>
      <c r="E11" s="132"/>
      <c r="F11" s="132"/>
      <c r="G11" s="132"/>
      <c r="H11" s="132"/>
      <c r="I11" s="58"/>
      <c r="J11" s="31" t="s">
        <v>280</v>
      </c>
      <c r="K11" s="132">
        <f>'4.a. sz.m.egyéb műk.kiadás '!C44</f>
        <v>204110000</v>
      </c>
      <c r="L11" s="132">
        <f>'4.a. sz.m.egyéb műk.kiadás '!D44</f>
        <v>255712508</v>
      </c>
      <c r="M11" s="132">
        <f>'4.a. sz.m.egyéb műk.kiadás '!E44</f>
        <v>198860920</v>
      </c>
      <c r="N11" s="132">
        <f>'4.a. sz.m.egyéb műk.kiadás '!F44</f>
        <v>175524789</v>
      </c>
      <c r="O11" s="132">
        <f>'4.a. sz.m.egyéb műk.kiadás '!G44</f>
        <v>538653284</v>
      </c>
      <c r="P11" s="132">
        <f>'4.a. sz.m.egyéb műk.kiadás '!H44</f>
        <v>0</v>
      </c>
    </row>
    <row r="12" spans="1:16" ht="15" customHeight="1" x14ac:dyDescent="0.2">
      <c r="A12" s="145"/>
      <c r="B12" s="227" t="s">
        <v>66</v>
      </c>
      <c r="C12" s="199">
        <f>SUM(C5:C11)</f>
        <v>835140522</v>
      </c>
      <c r="D12" s="199">
        <f>SUM(D5:D11)</f>
        <v>986225911</v>
      </c>
      <c r="E12" s="199">
        <f>SUM(E5:E11)</f>
        <v>1002652640</v>
      </c>
      <c r="F12" s="199">
        <f t="shared" ref="F12:H12" si="0">SUM(F5:F11)</f>
        <v>1019969428</v>
      </c>
      <c r="G12" s="199">
        <f t="shared" si="0"/>
        <v>1164638358</v>
      </c>
      <c r="H12" s="199">
        <f t="shared" si="0"/>
        <v>1146688547</v>
      </c>
      <c r="I12" s="216"/>
      <c r="J12" s="227" t="s">
        <v>66</v>
      </c>
      <c r="K12" s="199">
        <f>SUM(K5:K11)</f>
        <v>687721283</v>
      </c>
      <c r="L12" s="199">
        <f>SUM(L5:L11)</f>
        <v>803120710</v>
      </c>
      <c r="M12" s="199">
        <f>SUM(M5:M11)</f>
        <v>827017482</v>
      </c>
      <c r="N12" s="199">
        <f t="shared" ref="N12:P12" si="1">SUM(N5:N11)</f>
        <v>820752062</v>
      </c>
      <c r="O12" s="199">
        <f t="shared" si="1"/>
        <v>1171551238</v>
      </c>
      <c r="P12" s="199">
        <f t="shared" si="1"/>
        <v>567571712</v>
      </c>
    </row>
    <row r="13" spans="1:16" ht="15" customHeight="1" x14ac:dyDescent="0.2">
      <c r="A13" s="58" t="s">
        <v>68</v>
      </c>
      <c r="B13" s="5" t="s">
        <v>75</v>
      </c>
      <c r="C13" s="87"/>
      <c r="D13" s="87"/>
      <c r="E13" s="87"/>
      <c r="F13" s="87"/>
      <c r="G13" s="87"/>
      <c r="H13" s="87"/>
      <c r="I13" s="58" t="s">
        <v>68</v>
      </c>
      <c r="J13" s="5" t="s">
        <v>75</v>
      </c>
      <c r="K13" s="87"/>
      <c r="L13" s="87"/>
      <c r="M13" s="87"/>
      <c r="N13" s="87"/>
      <c r="O13" s="87"/>
      <c r="P13" s="87"/>
    </row>
    <row r="14" spans="1:16" ht="15" customHeight="1" x14ac:dyDescent="0.2">
      <c r="A14" s="58"/>
      <c r="B14" s="31" t="s">
        <v>276</v>
      </c>
      <c r="C14" s="132">
        <f>'3.sz.m.bevételek jogcímenként'!C74</f>
        <v>0</v>
      </c>
      <c r="D14" s="132">
        <f>'3.sz.m.bevételek jogcímenként'!D74</f>
        <v>12255000</v>
      </c>
      <c r="E14" s="132">
        <f>'3.sz.m.bevételek jogcímenként'!E74</f>
        <v>13717088</v>
      </c>
      <c r="F14" s="132">
        <f>'3.sz.m.bevételek jogcímenként'!F74</f>
        <v>13717088</v>
      </c>
      <c r="G14" s="132">
        <f>'3.sz.m.bevételek jogcímenként'!G74</f>
        <v>17521169</v>
      </c>
      <c r="H14" s="132">
        <f>'3.sz.m.bevételek jogcímenként'!H74</f>
        <v>17521169</v>
      </c>
      <c r="I14" s="58"/>
      <c r="J14" s="31" t="s">
        <v>64</v>
      </c>
      <c r="K14" s="132">
        <f>'4.a. sz.m.egyéb műk.kiadás '!C51</f>
        <v>122146616</v>
      </c>
      <c r="L14" s="132">
        <f>'4.a. sz.m.egyéb műk.kiadás '!D51</f>
        <v>126322344</v>
      </c>
      <c r="M14" s="132">
        <f>'4.a. sz.m.egyéb műk.kiadás '!E51</f>
        <v>128040796</v>
      </c>
      <c r="N14" s="132">
        <f>'4.a. sz.m.egyéb műk.kiadás '!F51</f>
        <v>127236421</v>
      </c>
      <c r="O14" s="132">
        <f>'4.a. sz.m.egyéb műk.kiadás '!G51</f>
        <v>133902998</v>
      </c>
      <c r="P14" s="132">
        <f>'4.a. sz.m.egyéb műk.kiadás '!H51</f>
        <v>132088068</v>
      </c>
    </row>
    <row r="15" spans="1:16" ht="15" customHeight="1" x14ac:dyDescent="0.2">
      <c r="A15" s="58"/>
      <c r="B15" s="31" t="s">
        <v>277</v>
      </c>
      <c r="C15" s="132">
        <f>'3.sz.m.bevételek jogcímenként'!C75</f>
        <v>750000</v>
      </c>
      <c r="D15" s="132">
        <f>'3.sz.m.bevételek jogcímenként'!D75</f>
        <v>2100000</v>
      </c>
      <c r="E15" s="132">
        <f>'3.sz.m.bevételek jogcímenként'!E75</f>
        <v>2100000</v>
      </c>
      <c r="F15" s="132">
        <f>'3.sz.m.bevételek jogcímenként'!F75</f>
        <v>2100000</v>
      </c>
      <c r="G15" s="132">
        <f>'3.sz.m.bevételek jogcímenként'!G75</f>
        <v>2223173</v>
      </c>
      <c r="H15" s="132">
        <f>'3.sz.m.bevételek jogcímenként'!H75</f>
        <v>2227161</v>
      </c>
      <c r="I15" s="58"/>
      <c r="J15" s="31" t="s">
        <v>851</v>
      </c>
      <c r="K15" s="132">
        <f>'4.a. sz.m.egyéb műk.kiadás '!C54</f>
        <v>1200000</v>
      </c>
      <c r="L15" s="132">
        <f>'4.a. sz.m.egyéb műk.kiadás '!D54</f>
        <v>1200000</v>
      </c>
      <c r="M15" s="132">
        <f>'4.a. sz.m.egyéb műk.kiadás '!E54</f>
        <v>1200000</v>
      </c>
      <c r="N15" s="132">
        <f>'4.a. sz.m.egyéb műk.kiadás '!F54</f>
        <v>1200000</v>
      </c>
      <c r="O15" s="132">
        <f>'4.a. sz.m.egyéb műk.kiadás '!G54</f>
        <v>1200000</v>
      </c>
      <c r="P15" s="132">
        <f>'4.a. sz.m.egyéb műk.kiadás '!H54</f>
        <v>1200000</v>
      </c>
    </row>
    <row r="16" spans="1:16" ht="15" customHeight="1" x14ac:dyDescent="0.2">
      <c r="A16" s="58"/>
      <c r="B16" s="31"/>
      <c r="C16" s="132"/>
      <c r="D16" s="132"/>
      <c r="E16" s="132"/>
      <c r="F16" s="132"/>
      <c r="G16" s="132"/>
      <c r="H16" s="132"/>
      <c r="I16" s="58"/>
      <c r="J16" s="31" t="s">
        <v>564</v>
      </c>
      <c r="K16" s="132">
        <f>'4.a. sz.m.egyéb műk.kiadás '!C57</f>
        <v>0</v>
      </c>
      <c r="L16" s="132">
        <f>'4.a. sz.m.egyéb műk.kiadás '!D57</f>
        <v>0</v>
      </c>
      <c r="M16" s="132">
        <f>'4.a. sz.m.egyéb műk.kiadás '!E57</f>
        <v>10429</v>
      </c>
      <c r="N16" s="132">
        <f>'4.a. sz.m.egyéb műk.kiadás '!F57</f>
        <v>10429</v>
      </c>
      <c r="O16" s="132">
        <f>'4.a. sz.m.egyéb műk.kiadás '!G57</f>
        <v>10429</v>
      </c>
      <c r="P16" s="132">
        <f>'4.a. sz.m.egyéb műk.kiadás '!H57</f>
        <v>10429</v>
      </c>
    </row>
    <row r="17" spans="1:16" ht="15" customHeight="1" x14ac:dyDescent="0.2">
      <c r="A17" s="58"/>
      <c r="B17" s="31"/>
      <c r="C17" s="132"/>
      <c r="D17" s="132"/>
      <c r="E17" s="132"/>
      <c r="F17" s="132"/>
      <c r="G17" s="132"/>
      <c r="H17" s="132"/>
      <c r="I17" s="58"/>
      <c r="J17" s="31" t="s">
        <v>563</v>
      </c>
      <c r="K17" s="132">
        <f>'4.a. sz.m.egyéb műk.kiadás '!C58</f>
        <v>0</v>
      </c>
      <c r="L17" s="132">
        <f>'4.a. sz.m.egyéb műk.kiadás '!D58</f>
        <v>0</v>
      </c>
      <c r="M17" s="132">
        <f>'4.a. sz.m.egyéb műk.kiadás '!E58</f>
        <v>5918207</v>
      </c>
      <c r="N17" s="132">
        <f>'4.a. sz.m.egyéb műk.kiadás '!F58</f>
        <v>5918207</v>
      </c>
      <c r="O17" s="132">
        <f>'4.a. sz.m.egyéb műk.kiadás '!G58</f>
        <v>5918207</v>
      </c>
      <c r="P17" s="132">
        <f>'4.a. sz.m.egyéb műk.kiadás '!H58</f>
        <v>5918207</v>
      </c>
    </row>
    <row r="18" spans="1:16" ht="15" customHeight="1" x14ac:dyDescent="0.2">
      <c r="A18" s="145"/>
      <c r="B18" s="227" t="s">
        <v>322</v>
      </c>
      <c r="C18" s="199">
        <f>SUM(C14:C17)</f>
        <v>750000</v>
      </c>
      <c r="D18" s="199">
        <f>SUM(D14:D17)</f>
        <v>14355000</v>
      </c>
      <c r="E18" s="199">
        <f>SUM(E14:E17)</f>
        <v>15817088</v>
      </c>
      <c r="F18" s="199">
        <f t="shared" ref="F18:H18" si="2">SUM(F14:F17)</f>
        <v>15817088</v>
      </c>
      <c r="G18" s="199">
        <f t="shared" si="2"/>
        <v>19744342</v>
      </c>
      <c r="H18" s="199">
        <f t="shared" si="2"/>
        <v>19748330</v>
      </c>
      <c r="I18" s="216"/>
      <c r="J18" s="227" t="s">
        <v>98</v>
      </c>
      <c r="K18" s="199">
        <f>SUM(K14:K17)</f>
        <v>123346616</v>
      </c>
      <c r="L18" s="199">
        <f>SUM(L14:L17)</f>
        <v>127522344</v>
      </c>
      <c r="M18" s="199">
        <f>SUM(M14:M17)</f>
        <v>135169432</v>
      </c>
      <c r="N18" s="199">
        <f t="shared" ref="N18:P18" si="3">SUM(N14:N17)</f>
        <v>134365057</v>
      </c>
      <c r="O18" s="199">
        <f t="shared" si="3"/>
        <v>141031634</v>
      </c>
      <c r="P18" s="199">
        <f t="shared" si="3"/>
        <v>139216704</v>
      </c>
    </row>
    <row r="19" spans="1:16" ht="15" customHeight="1" x14ac:dyDescent="0.2">
      <c r="A19" s="58" t="s">
        <v>69</v>
      </c>
      <c r="B19" s="5" t="s">
        <v>317</v>
      </c>
      <c r="C19" s="87"/>
      <c r="D19" s="87"/>
      <c r="E19" s="87"/>
      <c r="F19" s="87"/>
      <c r="G19" s="87"/>
      <c r="H19" s="87"/>
      <c r="I19" s="58" t="s">
        <v>69</v>
      </c>
      <c r="J19" s="5" t="s">
        <v>317</v>
      </c>
      <c r="K19" s="87"/>
      <c r="L19" s="87"/>
      <c r="M19" s="87"/>
      <c r="N19" s="87"/>
      <c r="O19" s="87"/>
      <c r="P19" s="87"/>
    </row>
    <row r="20" spans="1:16" ht="15" customHeight="1" x14ac:dyDescent="0.25">
      <c r="A20" s="56"/>
      <c r="B20" s="31" t="s">
        <v>278</v>
      </c>
      <c r="C20" s="132">
        <f>'3.sz.m.bevételek jogcímenként'!C81</f>
        <v>49301727</v>
      </c>
      <c r="D20" s="132">
        <f>'3.sz.m.bevételek jogcímenként'!D81</f>
        <v>48681727</v>
      </c>
      <c r="E20" s="132">
        <f>'3.sz.m.bevételek jogcímenként'!E81</f>
        <v>48681727</v>
      </c>
      <c r="F20" s="132">
        <f>'3.sz.m.bevételek jogcímenként'!F81</f>
        <v>48681727</v>
      </c>
      <c r="G20" s="132">
        <f>'3.sz.m.bevételek jogcímenként'!G81</f>
        <v>54235021</v>
      </c>
      <c r="H20" s="132">
        <f>'3.sz.m.bevételek jogcímenként'!H81</f>
        <v>54390680</v>
      </c>
      <c r="I20" s="56"/>
      <c r="J20" s="31" t="s">
        <v>65</v>
      </c>
      <c r="K20" s="132">
        <f>'4.a. sz.m.egyéb műk.kiadás '!C65</f>
        <v>148335130</v>
      </c>
      <c r="L20" s="132">
        <f>'4.a. sz.m.egyéb műk.kiadás '!D65</f>
        <v>155739000</v>
      </c>
      <c r="M20" s="132">
        <f>'4.a. sz.m.egyéb műk.kiadás '!E65</f>
        <v>156167965</v>
      </c>
      <c r="N20" s="132">
        <f>'4.a. sz.m.egyéb műk.kiadás '!F65</f>
        <v>156476879</v>
      </c>
      <c r="O20" s="132">
        <f>'4.a. sz.m.egyéb műk.kiadás '!G65</f>
        <v>162967246</v>
      </c>
      <c r="P20" s="132">
        <f>'4.a. sz.m.egyéb műk.kiadás '!H65</f>
        <v>159865625</v>
      </c>
    </row>
    <row r="21" spans="1:16" ht="15" customHeight="1" x14ac:dyDescent="0.25">
      <c r="A21" s="56"/>
      <c r="B21" s="31"/>
      <c r="C21" s="132"/>
      <c r="D21" s="132"/>
      <c r="E21" s="132"/>
      <c r="F21" s="132"/>
      <c r="G21" s="132"/>
      <c r="H21" s="132"/>
      <c r="I21" s="56"/>
      <c r="J21" s="31" t="s">
        <v>339</v>
      </c>
      <c r="K21" s="132">
        <f>'4.a. sz.m.egyéb műk.kiadás '!C66</f>
        <v>0</v>
      </c>
      <c r="L21" s="132">
        <f>'4.a. sz.m.egyéb műk.kiadás '!D66</f>
        <v>0</v>
      </c>
      <c r="M21" s="132">
        <f>'4.a. sz.m.egyéb műk.kiadás '!E66</f>
        <v>2212562</v>
      </c>
      <c r="N21" s="132">
        <f>'4.a. sz.m.egyéb műk.kiadás '!F66</f>
        <v>2212562</v>
      </c>
      <c r="O21" s="132">
        <f>'4.a. sz.m.egyéb műk.kiadás '!G66</f>
        <v>2212562</v>
      </c>
      <c r="P21" s="132">
        <f>'4.a. sz.m.egyéb műk.kiadás '!H66</f>
        <v>2212562</v>
      </c>
    </row>
    <row r="22" spans="1:16" ht="15" customHeight="1" x14ac:dyDescent="0.25">
      <c r="A22" s="56"/>
      <c r="B22" s="31"/>
      <c r="C22" s="132"/>
      <c r="D22" s="132"/>
      <c r="E22" s="132"/>
      <c r="F22" s="132"/>
      <c r="G22" s="132"/>
      <c r="H22" s="132"/>
      <c r="I22" s="56"/>
      <c r="J22" s="31"/>
      <c r="K22" s="132"/>
      <c r="L22" s="132"/>
      <c r="M22" s="132"/>
      <c r="N22" s="132"/>
      <c r="O22" s="132"/>
      <c r="P22" s="132"/>
    </row>
    <row r="23" spans="1:16" ht="15" customHeight="1" x14ac:dyDescent="0.25">
      <c r="A23" s="168"/>
      <c r="B23" s="227" t="s">
        <v>321</v>
      </c>
      <c r="C23" s="199">
        <f>SUM(C20)</f>
        <v>49301727</v>
      </c>
      <c r="D23" s="199">
        <f>SUM(D20)</f>
        <v>48681727</v>
      </c>
      <c r="E23" s="199">
        <f>SUM(E20)</f>
        <v>48681727</v>
      </c>
      <c r="F23" s="199">
        <f t="shared" ref="F23:H23" si="4">SUM(F20)</f>
        <v>48681727</v>
      </c>
      <c r="G23" s="199">
        <f t="shared" si="4"/>
        <v>54235021</v>
      </c>
      <c r="H23" s="199">
        <f t="shared" si="4"/>
        <v>54390680</v>
      </c>
      <c r="I23" s="228"/>
      <c r="J23" s="227" t="s">
        <v>321</v>
      </c>
      <c r="K23" s="199">
        <f>SUM(K20:K22)</f>
        <v>148335130</v>
      </c>
      <c r="L23" s="199">
        <f>SUM(L20:L22)</f>
        <v>155739000</v>
      </c>
      <c r="M23" s="199">
        <f>SUM(M20:M22)</f>
        <v>158380527</v>
      </c>
      <c r="N23" s="199">
        <f t="shared" ref="N23:P23" si="5">SUM(N20:N22)</f>
        <v>158689441</v>
      </c>
      <c r="O23" s="199">
        <f t="shared" si="5"/>
        <v>165179808</v>
      </c>
      <c r="P23" s="199">
        <f t="shared" si="5"/>
        <v>162078187</v>
      </c>
    </row>
    <row r="24" spans="1:16" ht="15" customHeight="1" x14ac:dyDescent="0.2">
      <c r="A24" s="58" t="s">
        <v>318</v>
      </c>
      <c r="B24" s="5" t="s">
        <v>319</v>
      </c>
      <c r="C24" s="55"/>
      <c r="D24" s="55"/>
      <c r="E24" s="55"/>
      <c r="F24" s="55"/>
      <c r="G24" s="55"/>
      <c r="H24" s="55"/>
      <c r="I24" s="58" t="s">
        <v>318</v>
      </c>
      <c r="J24" s="5" t="s">
        <v>319</v>
      </c>
      <c r="K24" s="55"/>
      <c r="L24" s="55"/>
      <c r="M24" s="55"/>
      <c r="N24" s="55"/>
      <c r="O24" s="55"/>
      <c r="P24" s="55"/>
    </row>
    <row r="25" spans="1:16" ht="15" customHeight="1" x14ac:dyDescent="0.2">
      <c r="A25" s="58"/>
      <c r="B25" s="31" t="s">
        <v>320</v>
      </c>
      <c r="C25" s="132">
        <f>'3.sz.m.bevételek jogcímenként'!C97</f>
        <v>5300000</v>
      </c>
      <c r="D25" s="132">
        <f>'3.sz.m.bevételek jogcímenként'!D97</f>
        <v>7300000</v>
      </c>
      <c r="E25" s="132">
        <f>'3.sz.m.bevételek jogcímenként'!E97</f>
        <v>7300000</v>
      </c>
      <c r="F25" s="132">
        <f>'3.sz.m.bevételek jogcímenként'!F97</f>
        <v>7300000</v>
      </c>
      <c r="G25" s="132">
        <f>'3.sz.m.bevételek jogcímenként'!G97</f>
        <v>10256782</v>
      </c>
      <c r="H25" s="132">
        <f>'3.sz.m.bevételek jogcímenként'!H97</f>
        <v>10114875</v>
      </c>
      <c r="I25" s="58"/>
      <c r="J25" s="31" t="s">
        <v>324</v>
      </c>
      <c r="K25" s="132">
        <f>'4.a. sz.m.egyéb műk.kiadás '!C73</f>
        <v>28536468</v>
      </c>
      <c r="L25" s="132">
        <f>'4.a. sz.m.egyéb műk.kiadás '!D73</f>
        <v>32457052</v>
      </c>
      <c r="M25" s="132">
        <f>'4.a. sz.m.egyéb műk.kiadás '!E73</f>
        <v>36660616</v>
      </c>
      <c r="N25" s="132">
        <f>'4.a. sz.m.egyéb műk.kiadás '!F73</f>
        <v>36951331</v>
      </c>
      <c r="O25" s="132">
        <f>'4.a. sz.m.egyéb műk.kiadás '!G73</f>
        <v>45066569</v>
      </c>
      <c r="P25" s="132">
        <f>'4.a. sz.m.egyéb műk.kiadás '!H73</f>
        <v>36808687</v>
      </c>
    </row>
    <row r="26" spans="1:16" ht="15" customHeight="1" x14ac:dyDescent="0.25">
      <c r="A26" s="56"/>
      <c r="B26" s="31" t="s">
        <v>338</v>
      </c>
      <c r="C26" s="132">
        <f>'3.sz.m.bevételek jogcímenként'!C91</f>
        <v>0</v>
      </c>
      <c r="D26" s="132">
        <f>'3.sz.m.bevételek jogcímenként'!D91</f>
        <v>0</v>
      </c>
      <c r="E26" s="132">
        <f>'3.sz.m.bevételek jogcímenként'!E91</f>
        <v>4897000</v>
      </c>
      <c r="F26" s="132">
        <f>'3.sz.m.bevételek jogcímenként'!F91</f>
        <v>4897000</v>
      </c>
      <c r="G26" s="132">
        <f>'3.sz.m.bevételek jogcímenként'!G91</f>
        <v>9859790</v>
      </c>
      <c r="H26" s="132">
        <f>'3.sz.m.bevételek jogcímenként'!H91</f>
        <v>9859790</v>
      </c>
      <c r="I26" s="56"/>
      <c r="J26" s="149" t="s">
        <v>774</v>
      </c>
      <c r="K26" s="132">
        <f>'4.a. sz.m.egyéb műk.kiadás '!C77</f>
        <v>0</v>
      </c>
      <c r="L26" s="132">
        <f>'4.a. sz.m.egyéb műk.kiadás '!D77</f>
        <v>0</v>
      </c>
      <c r="M26" s="132">
        <f>'4.a. sz.m.egyéb műk.kiadás '!E77</f>
        <v>6270</v>
      </c>
      <c r="N26" s="132">
        <f>'4.a. sz.m.egyéb műk.kiadás '!F77</f>
        <v>6270</v>
      </c>
      <c r="O26" s="132">
        <f>'4.a. sz.m.egyéb műk.kiadás '!G77</f>
        <v>56270</v>
      </c>
      <c r="P26" s="132">
        <f>'4.a. sz.m.egyéb műk.kiadás '!H77</f>
        <v>56270</v>
      </c>
    </row>
    <row r="27" spans="1:16" ht="15" customHeight="1" x14ac:dyDescent="0.25">
      <c r="A27" s="56"/>
      <c r="B27" s="31"/>
      <c r="C27" s="132"/>
      <c r="D27" s="132"/>
      <c r="E27" s="132"/>
      <c r="F27" s="132"/>
      <c r="G27" s="132"/>
      <c r="H27" s="132"/>
      <c r="I27" s="56"/>
      <c r="J27" s="31" t="s">
        <v>527</v>
      </c>
      <c r="K27" s="132">
        <f>'4.a. sz.m.egyéb műk.kiadás '!C78</f>
        <v>0</v>
      </c>
      <c r="L27" s="132">
        <f>'4.a. sz.m.egyéb műk.kiadás '!D78</f>
        <v>0</v>
      </c>
      <c r="M27" s="132">
        <f>'4.a. sz.m.egyéb műk.kiadás '!E78</f>
        <v>2496860</v>
      </c>
      <c r="N27" s="132">
        <f>'4.a. sz.m.egyéb műk.kiadás '!F78</f>
        <v>2496860</v>
      </c>
      <c r="O27" s="132">
        <f>'4.a. sz.m.egyéb műk.kiadás '!G78</f>
        <v>2496860</v>
      </c>
      <c r="P27" s="132">
        <f>'4.a. sz.m.egyéb műk.kiadás '!H78</f>
        <v>2496860</v>
      </c>
    </row>
    <row r="28" spans="1:16" ht="15" customHeight="1" x14ac:dyDescent="0.25">
      <c r="A28" s="168"/>
      <c r="B28" s="227" t="s">
        <v>323</v>
      </c>
      <c r="C28" s="199">
        <f>C26+C25</f>
        <v>5300000</v>
      </c>
      <c r="D28" s="199">
        <f>D26+D25</f>
        <v>7300000</v>
      </c>
      <c r="E28" s="199">
        <f>E26+E25</f>
        <v>12197000</v>
      </c>
      <c r="F28" s="199">
        <f t="shared" ref="F28:H28" si="6">F26+F25</f>
        <v>12197000</v>
      </c>
      <c r="G28" s="199">
        <f t="shared" si="6"/>
        <v>20116572</v>
      </c>
      <c r="H28" s="199">
        <f t="shared" si="6"/>
        <v>19974665</v>
      </c>
      <c r="I28" s="228"/>
      <c r="J28" s="227" t="s">
        <v>323</v>
      </c>
      <c r="K28" s="199">
        <f>SUM(K25:K27)</f>
        <v>28536468</v>
      </c>
      <c r="L28" s="199">
        <f>SUM(L25:L27)</f>
        <v>32457052</v>
      </c>
      <c r="M28" s="199">
        <f>SUM(M25:M27)</f>
        <v>39163746</v>
      </c>
      <c r="N28" s="199">
        <f t="shared" ref="N28:P28" si="7">SUM(N25:N27)</f>
        <v>39454461</v>
      </c>
      <c r="O28" s="199">
        <f t="shared" si="7"/>
        <v>47619699</v>
      </c>
      <c r="P28" s="199">
        <f t="shared" si="7"/>
        <v>39361817</v>
      </c>
    </row>
    <row r="29" spans="1:16" ht="15" customHeight="1" x14ac:dyDescent="0.2">
      <c r="A29" s="855" t="s">
        <v>285</v>
      </c>
      <c r="B29" s="856"/>
      <c r="C29" s="230">
        <f>C12+C23+C18+C28</f>
        <v>890492249</v>
      </c>
      <c r="D29" s="230">
        <f>D12+D23+D18+D28</f>
        <v>1056562638</v>
      </c>
      <c r="E29" s="230">
        <f>E12+E23+E18+E28</f>
        <v>1079348455</v>
      </c>
      <c r="F29" s="230">
        <f t="shared" ref="F29:H29" si="8">F12+F23+F18+F28</f>
        <v>1096665243</v>
      </c>
      <c r="G29" s="230">
        <f t="shared" si="8"/>
        <v>1258734293</v>
      </c>
      <c r="H29" s="230">
        <f t="shared" si="8"/>
        <v>1240802222</v>
      </c>
      <c r="I29" s="855" t="s">
        <v>294</v>
      </c>
      <c r="J29" s="856"/>
      <c r="K29" s="230">
        <f>K12+K23+K18+K28</f>
        <v>987939497</v>
      </c>
      <c r="L29" s="230">
        <f>L12+L23+L18+L28</f>
        <v>1118839106</v>
      </c>
      <c r="M29" s="230">
        <f>M12+M23+M18+M28</f>
        <v>1159731187</v>
      </c>
      <c r="N29" s="230">
        <f t="shared" ref="N29:P29" si="9">N12+N23+N18+N28</f>
        <v>1153261021</v>
      </c>
      <c r="O29" s="230">
        <f t="shared" si="9"/>
        <v>1525382379</v>
      </c>
      <c r="P29" s="230">
        <f t="shared" si="9"/>
        <v>908228420</v>
      </c>
    </row>
    <row r="30" spans="1:16" ht="15" customHeight="1" x14ac:dyDescent="0.2">
      <c r="A30" s="148" t="s">
        <v>305</v>
      </c>
      <c r="B30" s="148"/>
      <c r="C30" s="55"/>
      <c r="D30" s="55"/>
      <c r="E30" s="55"/>
      <c r="F30" s="55"/>
      <c r="G30" s="55"/>
      <c r="H30" s="55"/>
      <c r="I30" s="148" t="s">
        <v>308</v>
      </c>
      <c r="J30" s="148"/>
      <c r="K30" s="55"/>
      <c r="L30" s="55"/>
      <c r="M30" s="55"/>
      <c r="N30" s="55"/>
      <c r="O30" s="55"/>
      <c r="P30" s="55"/>
    </row>
    <row r="31" spans="1:16" ht="15" customHeight="1" x14ac:dyDescent="0.2">
      <c r="A31" s="58" t="s">
        <v>67</v>
      </c>
      <c r="B31" s="70" t="s">
        <v>61</v>
      </c>
      <c r="C31" s="55"/>
      <c r="D31" s="55"/>
      <c r="E31" s="55"/>
      <c r="F31" s="55"/>
      <c r="G31" s="55"/>
      <c r="H31" s="55"/>
      <c r="I31" s="58" t="s">
        <v>67</v>
      </c>
      <c r="J31" s="70" t="s">
        <v>61</v>
      </c>
      <c r="K31" s="55"/>
      <c r="L31" s="55"/>
      <c r="M31" s="55"/>
      <c r="N31" s="55"/>
      <c r="O31" s="55"/>
      <c r="P31" s="55"/>
    </row>
    <row r="32" spans="1:16" ht="15" customHeight="1" x14ac:dyDescent="0.2">
      <c r="A32" s="57"/>
      <c r="B32" s="138" t="s">
        <v>347</v>
      </c>
      <c r="C32" s="139">
        <f>'3.sz.m.bevételek jogcímenként'!C64</f>
        <v>51522907</v>
      </c>
      <c r="D32" s="139">
        <f>'3.sz.m.bevételek jogcímenként'!D64</f>
        <v>55813230</v>
      </c>
      <c r="E32" s="139">
        <f>'3.sz.m.bevételek jogcímenként'!E64</f>
        <v>54149937</v>
      </c>
      <c r="F32" s="139">
        <f>'3.sz.m.bevételek jogcímenként'!F64</f>
        <v>54149937</v>
      </c>
      <c r="G32" s="139">
        <f>'3.sz.m.bevételek jogcímenként'!G64</f>
        <v>54149937</v>
      </c>
      <c r="H32" s="139">
        <f>'3.sz.m.bevételek jogcímenként'!H64</f>
        <v>54149937</v>
      </c>
      <c r="I32" s="57"/>
      <c r="J32" s="138" t="s">
        <v>310</v>
      </c>
      <c r="K32" s="139">
        <f>'4.a. sz.m.egyéb műk.kiadás '!C112</f>
        <v>12597768</v>
      </c>
      <c r="L32" s="139">
        <f>'4.a. sz.m.egyéb műk.kiadás '!D112</f>
        <v>14048925</v>
      </c>
      <c r="M32" s="139">
        <f>'4.a. sz.m.egyéb műk.kiadás '!E112</f>
        <v>14048925</v>
      </c>
      <c r="N32" s="139">
        <f>'4.a. sz.m.egyéb műk.kiadás '!F112</f>
        <v>14104433</v>
      </c>
      <c r="O32" s="139">
        <f>'4.a. sz.m.egyéb műk.kiadás '!G112</f>
        <v>14114285</v>
      </c>
      <c r="P32" s="139">
        <f>'4.a. sz.m.egyéb műk.kiadás '!H112</f>
        <v>14098979</v>
      </c>
    </row>
    <row r="33" spans="1:16" ht="15" customHeight="1" x14ac:dyDescent="0.2">
      <c r="A33" s="57"/>
      <c r="B33" s="138" t="s">
        <v>348</v>
      </c>
      <c r="C33" s="139">
        <f>'3.sz.m.bevételek jogcímenként'!C65</f>
        <v>0</v>
      </c>
      <c r="D33" s="139">
        <f>'3.sz.m.bevételek jogcímenként'!D65</f>
        <v>0</v>
      </c>
      <c r="E33" s="139">
        <f>'3.sz.m.bevételek jogcímenként'!E65</f>
        <v>0</v>
      </c>
      <c r="F33" s="139">
        <f>'3.sz.m.bevételek jogcímenként'!F65</f>
        <v>55508</v>
      </c>
      <c r="G33" s="139">
        <f>'3.sz.m.bevételek jogcímenként'!G65</f>
        <v>16407220</v>
      </c>
      <c r="H33" s="139">
        <f>'3.sz.m.bevételek jogcímenként'!H65</f>
        <v>16407220</v>
      </c>
      <c r="I33" s="57"/>
      <c r="J33" s="138" t="s">
        <v>528</v>
      </c>
      <c r="K33" s="139">
        <f>'4.a. sz.m.egyéb műk.kiadás '!C111</f>
        <v>0</v>
      </c>
      <c r="L33" s="139">
        <f>'4.a. sz.m.egyéb műk.kiadás '!D111</f>
        <v>100000000</v>
      </c>
      <c r="M33" s="139">
        <f>'4.a. sz.m.egyéb műk.kiadás '!E111</f>
        <v>100000000</v>
      </c>
      <c r="N33" s="139">
        <f>'4.a. sz.m.egyéb műk.kiadás '!F111</f>
        <v>100000000</v>
      </c>
      <c r="O33" s="139">
        <f>'4.a. sz.m.egyéb műk.kiadás '!G111</f>
        <v>100000000</v>
      </c>
      <c r="P33" s="139">
        <f>'4.a. sz.m.egyéb műk.kiadás '!H111</f>
        <v>100000000</v>
      </c>
    </row>
    <row r="34" spans="1:16" ht="15" customHeight="1" x14ac:dyDescent="0.2">
      <c r="A34" s="57"/>
      <c r="B34" s="138" t="s">
        <v>521</v>
      </c>
      <c r="C34" s="139">
        <f>'3.sz.m.bevételek jogcímenként'!C66</f>
        <v>180000000</v>
      </c>
      <c r="D34" s="139">
        <f>'3.sz.m.bevételek jogcímenként'!D66</f>
        <v>340000000</v>
      </c>
      <c r="E34" s="139">
        <f>'3.sz.m.bevételek jogcímenként'!E66</f>
        <v>340000000</v>
      </c>
      <c r="F34" s="139">
        <f>'3.sz.m.bevételek jogcímenként'!F66</f>
        <v>340000000</v>
      </c>
      <c r="G34" s="139">
        <f>'3.sz.m.bevételek jogcímenként'!G66</f>
        <v>340000000</v>
      </c>
      <c r="H34" s="139">
        <f>'3.sz.m.bevételek jogcímenként'!H66</f>
        <v>340000000</v>
      </c>
      <c r="I34" s="57"/>
      <c r="J34" s="138"/>
      <c r="K34" s="139"/>
      <c r="L34" s="139"/>
      <c r="M34" s="139"/>
      <c r="N34" s="139"/>
      <c r="O34" s="139"/>
      <c r="P34" s="139"/>
    </row>
    <row r="35" spans="1:16" ht="15" customHeight="1" x14ac:dyDescent="0.2">
      <c r="A35" s="58" t="s">
        <v>68</v>
      </c>
      <c r="B35" s="5" t="s">
        <v>75</v>
      </c>
      <c r="C35" s="24"/>
      <c r="D35" s="24"/>
      <c r="E35" s="24"/>
      <c r="F35" s="24"/>
      <c r="G35" s="24"/>
      <c r="H35" s="24"/>
      <c r="I35" s="58" t="s">
        <v>68</v>
      </c>
      <c r="J35" s="5" t="s">
        <v>75</v>
      </c>
      <c r="K35" s="24"/>
      <c r="L35" s="24"/>
      <c r="M35" s="24"/>
      <c r="N35" s="24"/>
      <c r="O35" s="24"/>
      <c r="P35" s="24"/>
    </row>
    <row r="36" spans="1:16" ht="15" customHeight="1" x14ac:dyDescent="0.2">
      <c r="A36" s="57"/>
      <c r="B36" s="138" t="s">
        <v>309</v>
      </c>
      <c r="C36" s="132">
        <f>'3.sz.m.bevételek jogcímenként'!C78</f>
        <v>0</v>
      </c>
      <c r="D36" s="132">
        <f>'3.sz.m.bevételek jogcímenként'!D78</f>
        <v>0</v>
      </c>
      <c r="E36" s="132">
        <f>'3.sz.m.bevételek jogcímenként'!E78</f>
        <v>5918207</v>
      </c>
      <c r="F36" s="132">
        <f>'3.sz.m.bevételek jogcímenként'!F78</f>
        <v>5918207</v>
      </c>
      <c r="G36" s="132">
        <f>'3.sz.m.bevételek jogcímenként'!G78</f>
        <v>5918207</v>
      </c>
      <c r="H36" s="132">
        <f>'3.sz.m.bevételek jogcímenként'!H78</f>
        <v>5918207</v>
      </c>
      <c r="I36" s="57"/>
      <c r="J36" s="138"/>
      <c r="K36" s="132"/>
      <c r="L36" s="132"/>
      <c r="M36" s="132"/>
      <c r="N36" s="132"/>
      <c r="O36" s="132"/>
      <c r="P36" s="132"/>
    </row>
    <row r="37" spans="1:16" ht="15" customHeight="1" x14ac:dyDescent="0.2">
      <c r="A37" s="58" t="s">
        <v>69</v>
      </c>
      <c r="B37" s="5" t="s">
        <v>317</v>
      </c>
      <c r="C37" s="132"/>
      <c r="D37" s="132"/>
      <c r="E37" s="132"/>
      <c r="F37" s="132"/>
      <c r="G37" s="132"/>
      <c r="H37" s="132"/>
      <c r="I37" s="58" t="s">
        <v>69</v>
      </c>
      <c r="J37" s="5" t="s">
        <v>317</v>
      </c>
      <c r="K37" s="132"/>
      <c r="L37" s="132"/>
      <c r="M37" s="132"/>
      <c r="N37" s="132"/>
      <c r="O37" s="132"/>
      <c r="P37" s="132"/>
    </row>
    <row r="38" spans="1:16" ht="15" customHeight="1" x14ac:dyDescent="0.2">
      <c r="A38" s="58"/>
      <c r="B38" s="138" t="s">
        <v>307</v>
      </c>
      <c r="C38" s="132">
        <f>'3.sz.m.bevételek jogcímenként'!C83</f>
        <v>0</v>
      </c>
      <c r="D38" s="132">
        <f>'3.sz.m.bevételek jogcímenként'!D83</f>
        <v>0</v>
      </c>
      <c r="E38" s="132">
        <f>'3.sz.m.bevételek jogcímenként'!E83</f>
        <v>2212562</v>
      </c>
      <c r="F38" s="132">
        <f>'3.sz.m.bevételek jogcímenként'!F83</f>
        <v>2212562</v>
      </c>
      <c r="G38" s="132">
        <f>'3.sz.m.bevételek jogcímenként'!G83</f>
        <v>2212562</v>
      </c>
      <c r="H38" s="132">
        <f>'3.sz.m.bevételek jogcímenként'!H83</f>
        <v>2212562</v>
      </c>
      <c r="I38" s="58"/>
      <c r="J38" s="138"/>
      <c r="K38" s="132"/>
      <c r="L38" s="132"/>
      <c r="M38" s="132"/>
      <c r="N38" s="132"/>
      <c r="O38" s="132"/>
      <c r="P38" s="132"/>
    </row>
    <row r="39" spans="1:16" ht="15" customHeight="1" x14ac:dyDescent="0.2">
      <c r="A39" s="58" t="s">
        <v>318</v>
      </c>
      <c r="B39" s="5" t="s">
        <v>319</v>
      </c>
      <c r="C39" s="132"/>
      <c r="D39" s="132"/>
      <c r="E39" s="132"/>
      <c r="F39" s="132"/>
      <c r="G39" s="132"/>
      <c r="H39" s="132"/>
      <c r="I39" s="58"/>
      <c r="J39" s="138"/>
      <c r="K39" s="132"/>
      <c r="L39" s="132"/>
      <c r="M39" s="132"/>
      <c r="N39" s="132"/>
      <c r="O39" s="132"/>
      <c r="P39" s="132"/>
    </row>
    <row r="40" spans="1:16" ht="15" customHeight="1" x14ac:dyDescent="0.2">
      <c r="A40" s="239"/>
      <c r="B40" s="240" t="s">
        <v>522</v>
      </c>
      <c r="C40" s="132">
        <f>'3.sz.m.bevételek jogcímenként'!C98</f>
        <v>0</v>
      </c>
      <c r="D40" s="132">
        <f>'3.sz.m.bevételek jogcímenként'!D98</f>
        <v>0</v>
      </c>
      <c r="E40" s="132">
        <f>'3.sz.m.bevételek jogcímenként'!E98</f>
        <v>2496860</v>
      </c>
      <c r="F40" s="132">
        <f>'3.sz.m.bevételek jogcímenként'!F98</f>
        <v>2496860</v>
      </c>
      <c r="G40" s="132">
        <f>'3.sz.m.bevételek jogcímenként'!G98</f>
        <v>2496860</v>
      </c>
      <c r="H40" s="132">
        <f>'3.sz.m.bevételek jogcímenként'!H98</f>
        <v>2496860</v>
      </c>
      <c r="I40" s="58"/>
      <c r="J40" s="138"/>
      <c r="K40" s="132"/>
      <c r="L40" s="132"/>
      <c r="M40" s="132"/>
      <c r="N40" s="132"/>
      <c r="O40" s="132"/>
      <c r="P40" s="132"/>
    </row>
    <row r="41" spans="1:16" ht="15" customHeight="1" x14ac:dyDescent="0.2">
      <c r="A41" s="857" t="s">
        <v>345</v>
      </c>
      <c r="B41" s="858"/>
      <c r="C41" s="229">
        <f>SUM(C32+C36+C38+C33+C34+C40)</f>
        <v>231522907</v>
      </c>
      <c r="D41" s="229">
        <f>SUM(D32+D36+D38+D33+D34+D40)</f>
        <v>395813230</v>
      </c>
      <c r="E41" s="229">
        <f>SUM(E32+E36+E38+E33+E34+E40)</f>
        <v>404777566</v>
      </c>
      <c r="F41" s="229">
        <f t="shared" ref="F41:H41" si="10">SUM(F32+F36+F38+F33+F34+F40)</f>
        <v>404833074</v>
      </c>
      <c r="G41" s="229">
        <f t="shared" si="10"/>
        <v>421184786</v>
      </c>
      <c r="H41" s="229">
        <f t="shared" si="10"/>
        <v>421184786</v>
      </c>
      <c r="I41" s="859" t="s">
        <v>308</v>
      </c>
      <c r="J41" s="859"/>
      <c r="K41" s="229">
        <f>SUM(K32:K40)</f>
        <v>12597768</v>
      </c>
      <c r="L41" s="229">
        <f>SUM(L32:L40)</f>
        <v>114048925</v>
      </c>
      <c r="M41" s="229">
        <f>SUM(M32:M40)</f>
        <v>114048925</v>
      </c>
      <c r="N41" s="229">
        <f t="shared" ref="N41:P41" si="11">SUM(N32:N40)</f>
        <v>114104433</v>
      </c>
      <c r="O41" s="229">
        <f t="shared" si="11"/>
        <v>114114285</v>
      </c>
      <c r="P41" s="229">
        <f t="shared" si="11"/>
        <v>114098979</v>
      </c>
    </row>
    <row r="42" spans="1:16" ht="15" customHeight="1" x14ac:dyDescent="0.2">
      <c r="A42" s="862" t="s">
        <v>42</v>
      </c>
      <c r="B42" s="862"/>
      <c r="C42" s="232">
        <f>C29+C41</f>
        <v>1122015156</v>
      </c>
      <c r="D42" s="232">
        <f>D29+D41</f>
        <v>1452375868</v>
      </c>
      <c r="E42" s="232">
        <f>E29+E41</f>
        <v>1484126021</v>
      </c>
      <c r="F42" s="232">
        <f t="shared" ref="F42:H42" si="12">F29+F41</f>
        <v>1501498317</v>
      </c>
      <c r="G42" s="232">
        <f t="shared" si="12"/>
        <v>1679919079</v>
      </c>
      <c r="H42" s="232">
        <f t="shared" si="12"/>
        <v>1661987008</v>
      </c>
      <c r="I42" s="863" t="s">
        <v>9</v>
      </c>
      <c r="J42" s="864" t="s">
        <v>9</v>
      </c>
      <c r="K42" s="232">
        <f>K29+K41</f>
        <v>1000537265</v>
      </c>
      <c r="L42" s="232">
        <f>L29+L41</f>
        <v>1232888031</v>
      </c>
      <c r="M42" s="232">
        <f>M29+M41</f>
        <v>1273780112</v>
      </c>
      <c r="N42" s="232">
        <f t="shared" ref="N42:P42" si="13">N29+N41</f>
        <v>1267365454</v>
      </c>
      <c r="O42" s="232">
        <f t="shared" si="13"/>
        <v>1639496664</v>
      </c>
      <c r="P42" s="232">
        <f t="shared" si="13"/>
        <v>1022327399</v>
      </c>
    </row>
    <row r="43" spans="1:16" ht="15" customHeight="1" x14ac:dyDescent="0.2">
      <c r="A43" s="191"/>
      <c r="B43" s="191"/>
      <c r="C43" s="192"/>
      <c r="D43" s="192"/>
      <c r="E43" s="192"/>
      <c r="F43" s="192"/>
      <c r="G43" s="192"/>
      <c r="H43" s="192"/>
      <c r="I43" s="193"/>
      <c r="J43" s="194"/>
      <c r="K43" s="192"/>
      <c r="L43" s="192"/>
      <c r="M43" s="192"/>
      <c r="N43" s="192"/>
      <c r="O43" s="192"/>
      <c r="P43" s="192"/>
    </row>
    <row r="44" spans="1:16" ht="15" customHeight="1" x14ac:dyDescent="0.2">
      <c r="A44" s="867" t="s">
        <v>25</v>
      </c>
      <c r="B44" s="868"/>
      <c r="C44" s="189"/>
      <c r="D44" s="189"/>
      <c r="E44" s="189"/>
      <c r="F44" s="189"/>
      <c r="G44" s="189"/>
      <c r="H44" s="189"/>
      <c r="I44" s="867" t="s">
        <v>303</v>
      </c>
      <c r="J44" s="868"/>
      <c r="K44" s="190"/>
      <c r="L44" s="190"/>
      <c r="M44" s="190"/>
      <c r="N44" s="190"/>
      <c r="O44" s="190"/>
      <c r="P44" s="190"/>
    </row>
    <row r="45" spans="1:16" ht="15" customHeight="1" x14ac:dyDescent="0.2">
      <c r="A45" s="865" t="s">
        <v>286</v>
      </c>
      <c r="B45" s="865"/>
      <c r="C45" s="137"/>
      <c r="D45" s="137"/>
      <c r="E45" s="137"/>
      <c r="F45" s="137"/>
      <c r="G45" s="137"/>
      <c r="H45" s="137"/>
      <c r="I45" s="865" t="s">
        <v>288</v>
      </c>
      <c r="J45" s="865"/>
      <c r="K45" s="133"/>
      <c r="L45" s="133"/>
      <c r="M45" s="133"/>
      <c r="N45" s="133"/>
      <c r="O45" s="133"/>
      <c r="P45" s="133"/>
    </row>
    <row r="46" spans="1:16" ht="15" customHeight="1" x14ac:dyDescent="0.2">
      <c r="A46" s="58" t="s">
        <v>67</v>
      </c>
      <c r="B46" s="70" t="s">
        <v>61</v>
      </c>
      <c r="C46" s="4"/>
      <c r="D46" s="4"/>
      <c r="E46" s="4"/>
      <c r="F46" s="4"/>
      <c r="G46" s="4"/>
      <c r="H46" s="4"/>
      <c r="I46" s="58" t="s">
        <v>67</v>
      </c>
      <c r="J46" s="70" t="s">
        <v>61</v>
      </c>
      <c r="K46" s="4"/>
      <c r="L46" s="4"/>
      <c r="M46" s="4"/>
      <c r="N46" s="4"/>
      <c r="O46" s="4"/>
      <c r="P46" s="4"/>
    </row>
    <row r="47" spans="1:16" ht="15" customHeight="1" x14ac:dyDescent="0.2">
      <c r="A47" s="57"/>
      <c r="B47" s="31" t="s">
        <v>523</v>
      </c>
      <c r="C47" s="4">
        <f>'3.sz.m.bevételek jogcímenként'!C42</f>
        <v>0</v>
      </c>
      <c r="D47" s="4">
        <f>'3.sz.m.bevételek jogcímenként'!D42</f>
        <v>569645184</v>
      </c>
      <c r="E47" s="4">
        <f>'3.sz.m.bevételek jogcímenként'!E42</f>
        <v>570184499</v>
      </c>
      <c r="F47" s="4">
        <f>'3.sz.m.bevételek jogcímenként'!F42</f>
        <v>570184499</v>
      </c>
      <c r="G47" s="4">
        <f>'3.sz.m.bevételek jogcímenként'!G42</f>
        <v>755835745</v>
      </c>
      <c r="H47" s="4">
        <f>'3.sz.m.bevételek jogcímenként'!H42</f>
        <v>640895440</v>
      </c>
      <c r="I47" s="57"/>
      <c r="J47" s="31" t="s">
        <v>529</v>
      </c>
      <c r="K47" s="4">
        <f>'4.a. sz.m.egyéb műk.kiadás '!C83</f>
        <v>64337985</v>
      </c>
      <c r="L47" s="4">
        <f>'4.a. sz.m.egyéb műk.kiadás '!D83</f>
        <v>727482345</v>
      </c>
      <c r="M47" s="4">
        <f>'4.a. sz.m.egyéb műk.kiadás '!E83</f>
        <v>716957662</v>
      </c>
      <c r="N47" s="4">
        <f>'4.a. sz.m.egyéb műk.kiadás '!F83</f>
        <v>715653068</v>
      </c>
      <c r="O47" s="4">
        <f>'4.a. sz.m.egyéb műk.kiadás '!G83</f>
        <v>712432235</v>
      </c>
      <c r="P47" s="4">
        <f>'4.a. sz.m.egyéb műk.kiadás '!H83</f>
        <v>268389009</v>
      </c>
    </row>
    <row r="48" spans="1:16" ht="15" customHeight="1" x14ac:dyDescent="0.2">
      <c r="A48" s="57"/>
      <c r="B48" s="31" t="s">
        <v>524</v>
      </c>
      <c r="C48" s="4">
        <f>'3.sz.m.bevételek jogcímenként'!C54</f>
        <v>5000000</v>
      </c>
      <c r="D48" s="4">
        <f>'3.sz.m.bevételek jogcímenként'!D54</f>
        <v>0</v>
      </c>
      <c r="E48" s="4">
        <f>'3.sz.m.bevételek jogcímenként'!E54</f>
        <v>2200000</v>
      </c>
      <c r="F48" s="4">
        <f>'3.sz.m.bevételek jogcímenként'!F54</f>
        <v>2200000</v>
      </c>
      <c r="G48" s="4">
        <f>'3.sz.m.bevételek jogcímenként'!G54</f>
        <v>2200000</v>
      </c>
      <c r="H48" s="4">
        <f>'3.sz.m.bevételek jogcímenként'!H54</f>
        <v>2200000</v>
      </c>
      <c r="I48" s="57"/>
      <c r="J48" s="31" t="s">
        <v>530</v>
      </c>
      <c r="K48" s="4">
        <f>'4.a. sz.m.egyéb műk.kiadás '!C84</f>
        <v>42494750</v>
      </c>
      <c r="L48" s="4">
        <f>'4.a. sz.m.egyéb műk.kiadás '!D84</f>
        <v>32843676</v>
      </c>
      <c r="M48" s="4">
        <f>'4.a. sz.m.egyéb műk.kiadás '!E84</f>
        <v>35919591</v>
      </c>
      <c r="N48" s="4">
        <f>'4.a. sz.m.egyéb műk.kiadás '!F84</f>
        <v>36119437</v>
      </c>
      <c r="O48" s="4">
        <f>'4.a. sz.m.egyéb műk.kiadás '!G84</f>
        <v>43758543</v>
      </c>
      <c r="P48" s="4">
        <f>'4.a. sz.m.egyéb műk.kiadás '!H84</f>
        <v>9492047</v>
      </c>
    </row>
    <row r="49" spans="1:16" ht="15" customHeight="1" x14ac:dyDescent="0.2">
      <c r="A49" s="57"/>
      <c r="B49" s="31" t="s">
        <v>525</v>
      </c>
      <c r="C49" s="4">
        <f>'3.sz.m.bevételek jogcímenként'!C59</f>
        <v>880000</v>
      </c>
      <c r="D49" s="4">
        <f>'3.sz.m.bevételek jogcímenként'!D59</f>
        <v>705000</v>
      </c>
      <c r="E49" s="4">
        <f>'3.sz.m.bevételek jogcímenként'!E59</f>
        <v>705000</v>
      </c>
      <c r="F49" s="4">
        <f>'3.sz.m.bevételek jogcímenként'!F59</f>
        <v>705000</v>
      </c>
      <c r="G49" s="4">
        <f>'3.sz.m.bevételek jogcímenként'!G59</f>
        <v>1155145</v>
      </c>
      <c r="H49" s="4">
        <f>'3.sz.m.bevételek jogcímenként'!H59</f>
        <v>1155145</v>
      </c>
      <c r="I49" s="57"/>
      <c r="J49" s="31" t="s">
        <v>818</v>
      </c>
      <c r="K49" s="4"/>
      <c r="L49" s="4"/>
      <c r="M49" s="4"/>
      <c r="N49" s="4">
        <f>'4.a. sz.m.egyéb műk.kiadás '!F85</f>
        <v>21531976</v>
      </c>
      <c r="O49" s="4">
        <f>'4.a. sz.m.egyéb műk.kiadás '!G85</f>
        <v>21531976</v>
      </c>
      <c r="P49" s="4">
        <f>'4.a. sz.m.egyéb műk.kiadás '!H85</f>
        <v>0</v>
      </c>
    </row>
    <row r="50" spans="1:16" ht="15" customHeight="1" x14ac:dyDescent="0.2">
      <c r="A50" s="57"/>
      <c r="B50" s="31" t="s">
        <v>526</v>
      </c>
      <c r="C50" s="4">
        <f>'3.sz.m.bevételek jogcímenként'!C60</f>
        <v>509844</v>
      </c>
      <c r="D50" s="4">
        <f>'3.sz.m.bevételek jogcímenként'!D60</f>
        <v>408000</v>
      </c>
      <c r="E50" s="4">
        <f>'3.sz.m.bevételek jogcímenként'!E60</f>
        <v>408000</v>
      </c>
      <c r="F50" s="4">
        <f>'3.sz.m.bevételek jogcímenként'!F60</f>
        <v>408000</v>
      </c>
      <c r="G50" s="4">
        <f>'3.sz.m.bevételek jogcímenként'!G60</f>
        <v>9995067</v>
      </c>
      <c r="H50" s="4">
        <f>'3.sz.m.bevételek jogcímenként'!H60</f>
        <v>9995067</v>
      </c>
      <c r="I50" s="57"/>
      <c r="J50" s="31" t="s">
        <v>531</v>
      </c>
      <c r="K50" s="4">
        <f>'4.a. sz.m.egyéb műk.kiadás '!C88+'4.a. sz.m.egyéb műk.kiadás '!C92</f>
        <v>2905000</v>
      </c>
      <c r="L50" s="4">
        <f>'4.a. sz.m.egyéb műk.kiadás '!D88+'4.a. sz.m.egyéb műk.kiadás '!D92</f>
        <v>14420000</v>
      </c>
      <c r="M50" s="4">
        <f>'4.a. sz.m.egyéb műk.kiadás '!E88+'4.a. sz.m.egyéb műk.kiadás '!E92</f>
        <v>14420000</v>
      </c>
      <c r="N50" s="4">
        <f>'4.a. sz.m.egyéb műk.kiadás '!F88+'4.a. sz.m.egyéb műk.kiadás '!F92</f>
        <v>14420000</v>
      </c>
      <c r="O50" s="4">
        <f>'4.a. sz.m.egyéb műk.kiadás '!G88+'4.a. sz.m.egyéb műk.kiadás '!G92</f>
        <v>14240747</v>
      </c>
      <c r="P50" s="4">
        <f>'4.a. sz.m.egyéb műk.kiadás '!H88+'4.a. sz.m.egyéb műk.kiadás '!H92</f>
        <v>4140747</v>
      </c>
    </row>
    <row r="51" spans="1:16" ht="15" customHeight="1" x14ac:dyDescent="0.2">
      <c r="A51" s="57"/>
      <c r="B51" s="31"/>
      <c r="C51" s="4"/>
      <c r="D51" s="4"/>
      <c r="E51" s="4"/>
      <c r="F51" s="4"/>
      <c r="G51" s="4"/>
      <c r="H51" s="4"/>
      <c r="I51" s="57"/>
      <c r="J51" s="31" t="s">
        <v>532</v>
      </c>
      <c r="K51" s="4">
        <f>'4.a. sz.m.egyéb műk.kiadás '!C95</f>
        <v>1000000</v>
      </c>
      <c r="L51" s="4">
        <f>'4.a. sz.m.egyéb műk.kiadás '!D95</f>
        <v>1000000</v>
      </c>
      <c r="M51" s="4">
        <f>'4.a. sz.m.egyéb műk.kiadás '!E95</f>
        <v>1000000</v>
      </c>
      <c r="N51" s="4">
        <v>1000000</v>
      </c>
      <c r="O51" s="4">
        <f>'4.a. sz.m.egyéb műk.kiadás '!G95</f>
        <v>1000000</v>
      </c>
      <c r="P51" s="4">
        <f>'4.a. sz.m.egyéb műk.kiadás '!H95</f>
        <v>500000</v>
      </c>
    </row>
    <row r="52" spans="1:16" s="88" customFormat="1" ht="15.75" x14ac:dyDescent="0.25">
      <c r="A52" s="57"/>
      <c r="B52" s="227" t="s">
        <v>66</v>
      </c>
      <c r="C52" s="231">
        <f>SUM(C47:C51)</f>
        <v>6389844</v>
      </c>
      <c r="D52" s="231">
        <f>SUM(D47:D51)</f>
        <v>570758184</v>
      </c>
      <c r="E52" s="231">
        <f>SUM(E47:E51)</f>
        <v>573497499</v>
      </c>
      <c r="F52" s="231">
        <f t="shared" ref="F52:H52" si="14">SUM(F47:F51)</f>
        <v>573497499</v>
      </c>
      <c r="G52" s="231">
        <f t="shared" si="14"/>
        <v>769185957</v>
      </c>
      <c r="H52" s="231">
        <f t="shared" si="14"/>
        <v>654245652</v>
      </c>
      <c r="I52" s="208"/>
      <c r="J52" s="227" t="s">
        <v>66</v>
      </c>
      <c r="K52" s="231">
        <f>SUM(K47:K51)</f>
        <v>110737735</v>
      </c>
      <c r="L52" s="231">
        <f>SUM(L47:L51)</f>
        <v>775746021</v>
      </c>
      <c r="M52" s="231">
        <f>SUM(M47:M51)</f>
        <v>768297253</v>
      </c>
      <c r="N52" s="231">
        <f t="shared" ref="N52:P52" si="15">SUM(N47:N51)</f>
        <v>788724481</v>
      </c>
      <c r="O52" s="231">
        <f t="shared" si="15"/>
        <v>792963501</v>
      </c>
      <c r="P52" s="231">
        <f t="shared" si="15"/>
        <v>282521803</v>
      </c>
    </row>
    <row r="53" spans="1:16" s="88" customFormat="1" ht="15.75" x14ac:dyDescent="0.2">
      <c r="A53" s="58" t="s">
        <v>68</v>
      </c>
      <c r="B53" s="5" t="s">
        <v>75</v>
      </c>
      <c r="C53" s="4"/>
      <c r="D53" s="4"/>
      <c r="E53" s="4"/>
      <c r="F53" s="4"/>
      <c r="G53" s="4"/>
      <c r="H53" s="4"/>
      <c r="I53" s="58" t="s">
        <v>68</v>
      </c>
      <c r="J53" s="5" t="s">
        <v>75</v>
      </c>
      <c r="K53" s="4"/>
      <c r="L53" s="4"/>
      <c r="M53" s="4"/>
      <c r="N53" s="4"/>
      <c r="O53" s="4"/>
      <c r="P53" s="4"/>
    </row>
    <row r="54" spans="1:16" s="88" customFormat="1" ht="15.75" x14ac:dyDescent="0.2">
      <c r="A54" s="58"/>
      <c r="B54" s="31" t="s">
        <v>852</v>
      </c>
      <c r="C54" s="4"/>
      <c r="D54" s="4"/>
      <c r="E54" s="4"/>
      <c r="F54" s="4"/>
      <c r="G54" s="4">
        <f>'3.sz.m.bevételek jogcímenként'!G76</f>
        <v>17000</v>
      </c>
      <c r="H54" s="4">
        <f>'3.sz.m.bevételek jogcímenként'!H76</f>
        <v>17000</v>
      </c>
      <c r="I54" s="58"/>
      <c r="J54" s="31" t="s">
        <v>302</v>
      </c>
      <c r="K54" s="4">
        <f>'4.a. sz.m.egyéb műk.kiadás '!C98</f>
        <v>1270000</v>
      </c>
      <c r="L54" s="4">
        <f>'4.a. sz.m.egyéb műk.kiadás '!D98</f>
        <v>1000000</v>
      </c>
      <c r="M54" s="4">
        <f>'4.a. sz.m.egyéb műk.kiadás '!E98</f>
        <v>1000000</v>
      </c>
      <c r="N54" s="4">
        <f>'4.a. sz.m.egyéb műk.kiadás '!F98</f>
        <v>1341565</v>
      </c>
      <c r="O54" s="4">
        <f>'4.a. sz.m.egyéb műk.kiadás '!G98</f>
        <v>1772555</v>
      </c>
      <c r="P54" s="4">
        <f>'4.a. sz.m.egyéb műk.kiadás '!H98</f>
        <v>1427655</v>
      </c>
    </row>
    <row r="55" spans="1:16" s="88" customFormat="1" ht="15" x14ac:dyDescent="0.2">
      <c r="A55" s="57"/>
      <c r="B55" s="31" t="s">
        <v>853</v>
      </c>
      <c r="C55" s="4"/>
      <c r="D55" s="4"/>
      <c r="E55" s="4"/>
      <c r="F55" s="4"/>
      <c r="G55" s="4">
        <f>'3.sz.m.bevételek jogcímenként'!G77</f>
        <v>75000</v>
      </c>
      <c r="H55" s="4">
        <f>'3.sz.m.bevételek jogcímenként'!H77</f>
        <v>75000</v>
      </c>
      <c r="I55" s="57"/>
      <c r="J55" s="31" t="s">
        <v>855</v>
      </c>
      <c r="K55" s="4"/>
      <c r="L55" s="4"/>
      <c r="M55" s="4"/>
      <c r="N55" s="4">
        <f>'4.a. sz.m.egyéb műk.kiadás '!F99</f>
        <v>600000</v>
      </c>
      <c r="O55" s="4">
        <f>'4.a. sz.m.egyéb műk.kiadás '!G99</f>
        <v>600000</v>
      </c>
      <c r="P55" s="4">
        <f>'4.a. sz.m.egyéb műk.kiadás '!H99</f>
        <v>600000</v>
      </c>
    </row>
    <row r="56" spans="1:16" s="88" customFormat="1" ht="15.75" x14ac:dyDescent="0.2">
      <c r="A56" s="57"/>
      <c r="B56" s="227" t="s">
        <v>76</v>
      </c>
      <c r="C56" s="209">
        <f t="shared" ref="C56:F56" si="16">SUM(C54:C55)</f>
        <v>0</v>
      </c>
      <c r="D56" s="209">
        <f t="shared" si="16"/>
        <v>0</v>
      </c>
      <c r="E56" s="209">
        <f t="shared" si="16"/>
        <v>0</v>
      </c>
      <c r="F56" s="209">
        <f t="shared" si="16"/>
        <v>0</v>
      </c>
      <c r="G56" s="209">
        <f>SUM(G54:G55)</f>
        <v>92000</v>
      </c>
      <c r="H56" s="209">
        <f>SUM(H54:H55)</f>
        <v>92000</v>
      </c>
      <c r="I56" s="208"/>
      <c r="J56" s="227" t="s">
        <v>76</v>
      </c>
      <c r="K56" s="209">
        <f t="shared" ref="K56:P56" si="17">SUM(K54:K55)</f>
        <v>1270000</v>
      </c>
      <c r="L56" s="209">
        <f t="shared" si="17"/>
        <v>1000000</v>
      </c>
      <c r="M56" s="209">
        <f t="shared" si="17"/>
        <v>1000000</v>
      </c>
      <c r="N56" s="209">
        <f t="shared" si="17"/>
        <v>1941565</v>
      </c>
      <c r="O56" s="209">
        <f t="shared" si="17"/>
        <v>2372555</v>
      </c>
      <c r="P56" s="209">
        <f t="shared" si="17"/>
        <v>2027655</v>
      </c>
    </row>
    <row r="57" spans="1:16" s="88" customFormat="1" ht="15.75" x14ac:dyDescent="0.2">
      <c r="A57" s="58" t="s">
        <v>69</v>
      </c>
      <c r="B57" s="5" t="s">
        <v>317</v>
      </c>
      <c r="C57" s="4"/>
      <c r="D57" s="4"/>
      <c r="E57" s="4"/>
      <c r="F57" s="4"/>
      <c r="G57" s="4"/>
      <c r="H57" s="4"/>
      <c r="I57" s="58" t="s">
        <v>69</v>
      </c>
      <c r="J57" s="5" t="s">
        <v>317</v>
      </c>
      <c r="K57" s="4"/>
      <c r="L57" s="4"/>
      <c r="M57" s="4"/>
      <c r="N57" s="4"/>
      <c r="O57" s="4"/>
      <c r="P57" s="4"/>
    </row>
    <row r="58" spans="1:16" ht="15" customHeight="1" x14ac:dyDescent="0.2">
      <c r="A58" s="57"/>
      <c r="B58" s="149" t="s">
        <v>854</v>
      </c>
      <c r="C58" s="4"/>
      <c r="D58" s="4"/>
      <c r="E58" s="4"/>
      <c r="F58" s="4"/>
      <c r="G58" s="4">
        <f>'3.sz.m.bevételek jogcímenként'!G82</f>
        <v>100000</v>
      </c>
      <c r="H58" s="4">
        <f>'3.sz.m.bevételek jogcímenként'!H82</f>
        <v>100000</v>
      </c>
      <c r="I58" s="57"/>
      <c r="J58" s="31" t="s">
        <v>340</v>
      </c>
      <c r="K58" s="4">
        <f>'4.a. sz.m.egyéb műk.kiadás '!C102</f>
        <v>5500000</v>
      </c>
      <c r="L58" s="4">
        <f>'4.a. sz.m.egyéb műk.kiadás '!D102</f>
        <v>2200000</v>
      </c>
      <c r="M58" s="4">
        <f>'4.a. sz.m.egyéb műk.kiadás '!E102</f>
        <v>2200000</v>
      </c>
      <c r="N58" s="4">
        <f>'4.a. sz.m.egyéb műk.kiadás '!F102</f>
        <v>2200000</v>
      </c>
      <c r="O58" s="4">
        <f>'4.a. sz.m.egyéb műk.kiadás '!G102</f>
        <v>700000</v>
      </c>
      <c r="P58" s="4">
        <f>'4.a. sz.m.egyéb műk.kiadás '!H102</f>
        <v>635589</v>
      </c>
    </row>
    <row r="59" spans="1:16" ht="15" customHeight="1" x14ac:dyDescent="0.2">
      <c r="A59" s="57"/>
      <c r="B59" s="227" t="s">
        <v>321</v>
      </c>
      <c r="C59" s="209">
        <f t="shared" ref="C59:H59" si="18">C58</f>
        <v>0</v>
      </c>
      <c r="D59" s="209">
        <f t="shared" si="18"/>
        <v>0</v>
      </c>
      <c r="E59" s="209">
        <f t="shared" si="18"/>
        <v>0</v>
      </c>
      <c r="F59" s="209">
        <f t="shared" si="18"/>
        <v>0</v>
      </c>
      <c r="G59" s="209">
        <f t="shared" si="18"/>
        <v>100000</v>
      </c>
      <c r="H59" s="209">
        <f t="shared" si="18"/>
        <v>100000</v>
      </c>
      <c r="I59" s="208"/>
      <c r="J59" s="227" t="s">
        <v>321</v>
      </c>
      <c r="K59" s="209">
        <f t="shared" ref="K59:P59" si="19">SUM(K58)</f>
        <v>5500000</v>
      </c>
      <c r="L59" s="209">
        <f t="shared" si="19"/>
        <v>2200000</v>
      </c>
      <c r="M59" s="209">
        <f t="shared" si="19"/>
        <v>2200000</v>
      </c>
      <c r="N59" s="209">
        <f t="shared" si="19"/>
        <v>2200000</v>
      </c>
      <c r="O59" s="209">
        <f t="shared" si="19"/>
        <v>700000</v>
      </c>
      <c r="P59" s="209">
        <f t="shared" si="19"/>
        <v>635589</v>
      </c>
    </row>
    <row r="60" spans="1:16" ht="15" customHeight="1" x14ac:dyDescent="0.2">
      <c r="A60" s="58" t="s">
        <v>318</v>
      </c>
      <c r="B60" s="5" t="s">
        <v>319</v>
      </c>
      <c r="C60" s="4"/>
      <c r="D60" s="4"/>
      <c r="E60" s="4"/>
      <c r="F60" s="4"/>
      <c r="G60" s="4"/>
      <c r="H60" s="4"/>
      <c r="I60" s="58" t="s">
        <v>318</v>
      </c>
      <c r="J60" s="5" t="s">
        <v>319</v>
      </c>
      <c r="K60" s="4"/>
      <c r="L60" s="4"/>
      <c r="M60" s="4"/>
      <c r="N60" s="4"/>
      <c r="O60" s="4"/>
      <c r="P60" s="4"/>
    </row>
    <row r="61" spans="1:16" ht="15" customHeight="1" x14ac:dyDescent="0.2">
      <c r="A61" s="57"/>
      <c r="B61" s="91" t="s">
        <v>702</v>
      </c>
      <c r="C61" s="4">
        <f>'3.sz.m.bevételek jogcímenként'!C96</f>
        <v>0</v>
      </c>
      <c r="D61" s="4">
        <f>'3.sz.m.bevételek jogcímenként'!D96</f>
        <v>19963948</v>
      </c>
      <c r="E61" s="4">
        <f>'3.sz.m.bevételek jogcímenként'!E96</f>
        <v>20713948</v>
      </c>
      <c r="F61" s="4">
        <f>'3.sz.m.bevételek jogcímenként'!F96</f>
        <v>25945924</v>
      </c>
      <c r="G61" s="4">
        <f>'3.sz.m.bevételek jogcímenként'!G96</f>
        <v>25945924</v>
      </c>
      <c r="H61" s="4">
        <f>'3.sz.m.bevételek jogcímenként'!H96</f>
        <v>20713948</v>
      </c>
      <c r="I61" s="57"/>
      <c r="J61" s="31" t="s">
        <v>330</v>
      </c>
      <c r="K61" s="4">
        <f>'4.a. sz.m.egyéb műk.kiadás '!C105</f>
        <v>360000</v>
      </c>
      <c r="L61" s="4">
        <f>'4.a. sz.m.egyéb műk.kiadás '!D105</f>
        <v>21263948</v>
      </c>
      <c r="M61" s="4">
        <f>'4.a. sz.m.egyéb műk.kiadás '!E105</f>
        <v>23060103</v>
      </c>
      <c r="N61" s="4">
        <f>'5.sz.m.-Beruházás és felújítás'!E68</f>
        <v>30710240</v>
      </c>
      <c r="O61" s="4">
        <f>'4.a. sz.m.egyéb műk.kiadás '!G105</f>
        <v>29710240</v>
      </c>
      <c r="P61" s="4">
        <f>'4.a. sz.m.egyéb műk.kiadás '!H105</f>
        <v>16305273</v>
      </c>
    </row>
    <row r="62" spans="1:16" ht="15" customHeight="1" x14ac:dyDescent="0.2">
      <c r="A62" s="57"/>
      <c r="B62" s="227" t="s">
        <v>611</v>
      </c>
      <c r="C62" s="209"/>
      <c r="D62" s="209">
        <f>D61</f>
        <v>19963948</v>
      </c>
      <c r="E62" s="209">
        <f>E61</f>
        <v>20713948</v>
      </c>
      <c r="F62" s="209">
        <f t="shared" ref="F62:H62" si="20">F61</f>
        <v>25945924</v>
      </c>
      <c r="G62" s="209">
        <f t="shared" si="20"/>
        <v>25945924</v>
      </c>
      <c r="H62" s="209">
        <f t="shared" si="20"/>
        <v>20713948</v>
      </c>
      <c r="I62" s="208"/>
      <c r="J62" s="227" t="s">
        <v>323</v>
      </c>
      <c r="K62" s="209">
        <f>K61</f>
        <v>360000</v>
      </c>
      <c r="L62" s="209">
        <f>L61</f>
        <v>21263948</v>
      </c>
      <c r="M62" s="209">
        <f>M61</f>
        <v>23060103</v>
      </c>
      <c r="N62" s="209">
        <f t="shared" ref="N62:P62" si="21">N61</f>
        <v>30710240</v>
      </c>
      <c r="O62" s="209">
        <f t="shared" si="21"/>
        <v>29710240</v>
      </c>
      <c r="P62" s="209">
        <f t="shared" si="21"/>
        <v>16305273</v>
      </c>
    </row>
    <row r="63" spans="1:16" ht="15" customHeight="1" x14ac:dyDescent="0.2">
      <c r="A63" s="234" t="s">
        <v>295</v>
      </c>
      <c r="B63" s="235"/>
      <c r="C63" s="229">
        <f>C52+C53+C57</f>
        <v>6389844</v>
      </c>
      <c r="D63" s="229">
        <f>D52+D53+D57+D62</f>
        <v>590722132</v>
      </c>
      <c r="E63" s="229">
        <f>E52+E53+E57+E62</f>
        <v>594211447</v>
      </c>
      <c r="F63" s="229">
        <f>F52+F53+F57+F62</f>
        <v>599443423</v>
      </c>
      <c r="G63" s="229">
        <f>G52+G53+G56+G62+G59</f>
        <v>795323881</v>
      </c>
      <c r="H63" s="229">
        <f>H52+H53+H56+H62+H59</f>
        <v>675151600</v>
      </c>
      <c r="I63" s="233" t="s">
        <v>296</v>
      </c>
      <c r="J63" s="233"/>
      <c r="K63" s="229">
        <f t="shared" ref="K63:P63" si="22">K52+K56+K59+K62</f>
        <v>117867735</v>
      </c>
      <c r="L63" s="229">
        <f t="shared" si="22"/>
        <v>800209969</v>
      </c>
      <c r="M63" s="229">
        <f t="shared" si="22"/>
        <v>794557356</v>
      </c>
      <c r="N63" s="229">
        <f t="shared" si="22"/>
        <v>823576286</v>
      </c>
      <c r="O63" s="229">
        <f t="shared" si="22"/>
        <v>825746296</v>
      </c>
      <c r="P63" s="229">
        <f t="shared" si="22"/>
        <v>301490320</v>
      </c>
    </row>
    <row r="64" spans="1:16" ht="15" customHeight="1" x14ac:dyDescent="0.2">
      <c r="A64" s="148" t="s">
        <v>306</v>
      </c>
      <c r="B64" s="148"/>
      <c r="C64" s="55"/>
      <c r="D64" s="55"/>
      <c r="E64" s="55"/>
      <c r="F64" s="55"/>
      <c r="G64" s="55"/>
      <c r="H64" s="55"/>
      <c r="I64" s="148" t="s">
        <v>289</v>
      </c>
      <c r="J64" s="148"/>
      <c r="K64" s="55"/>
      <c r="L64" s="55"/>
      <c r="M64" s="55"/>
      <c r="N64" s="55"/>
      <c r="O64" s="55"/>
      <c r="P64" s="55"/>
    </row>
    <row r="65" spans="1:16" ht="15" customHeight="1" x14ac:dyDescent="0.2">
      <c r="A65" s="58" t="s">
        <v>67</v>
      </c>
      <c r="B65" s="70" t="s">
        <v>61</v>
      </c>
      <c r="C65" s="55"/>
      <c r="D65" s="55"/>
      <c r="E65" s="55"/>
      <c r="F65" s="55"/>
      <c r="G65" s="55"/>
      <c r="H65" s="55"/>
      <c r="I65" s="58" t="s">
        <v>67</v>
      </c>
      <c r="J65" s="70" t="s">
        <v>61</v>
      </c>
      <c r="K65" s="55"/>
      <c r="L65" s="55"/>
      <c r="M65" s="55"/>
      <c r="N65" s="55"/>
      <c r="O65" s="55"/>
      <c r="P65" s="55"/>
    </row>
    <row r="66" spans="1:16" ht="15" customHeight="1" x14ac:dyDescent="0.2">
      <c r="A66" s="57"/>
      <c r="B66" s="138"/>
      <c r="C66" s="139"/>
      <c r="D66" s="139"/>
      <c r="E66" s="139"/>
      <c r="F66" s="139"/>
      <c r="G66" s="139"/>
      <c r="H66" s="139"/>
      <c r="I66" s="57"/>
      <c r="J66" s="138" t="s">
        <v>533</v>
      </c>
      <c r="K66" s="139">
        <f>'4.a. sz.m.egyéb műk.kiadás '!C110</f>
        <v>10000000</v>
      </c>
      <c r="L66" s="139">
        <f>'4.a. sz.m.egyéb műk.kiadás '!D110</f>
        <v>10000000</v>
      </c>
      <c r="M66" s="139">
        <f>'4.a. sz.m.egyéb műk.kiadás '!E110</f>
        <v>10000000</v>
      </c>
      <c r="N66" s="139">
        <f>'4.a. sz.m.egyéb műk.kiadás '!F110</f>
        <v>10000000</v>
      </c>
      <c r="O66" s="139">
        <f>'4.a. sz.m.egyéb műk.kiadás '!G110</f>
        <v>10000000</v>
      </c>
      <c r="P66" s="139">
        <f>'4.a. sz.m.egyéb műk.kiadás '!H110</f>
        <v>10000000</v>
      </c>
    </row>
    <row r="67" spans="1:16" ht="15" customHeight="1" x14ac:dyDescent="0.2">
      <c r="A67" s="58" t="s">
        <v>68</v>
      </c>
      <c r="B67" s="5" t="s">
        <v>75</v>
      </c>
      <c r="C67" s="24"/>
      <c r="D67" s="24"/>
      <c r="E67" s="24"/>
      <c r="F67" s="24"/>
      <c r="G67" s="24"/>
      <c r="H67" s="24"/>
      <c r="I67" s="58" t="s">
        <v>68</v>
      </c>
      <c r="J67" s="5" t="s">
        <v>75</v>
      </c>
      <c r="K67" s="24"/>
      <c r="L67" s="24"/>
      <c r="M67" s="24"/>
      <c r="N67" s="24"/>
      <c r="O67" s="24"/>
      <c r="P67" s="24"/>
    </row>
    <row r="68" spans="1:16" ht="15" customHeight="1" x14ac:dyDescent="0.2">
      <c r="A68" s="57"/>
      <c r="B68" s="149"/>
      <c r="C68" s="132"/>
      <c r="D68" s="132"/>
      <c r="E68" s="132"/>
      <c r="F68" s="132"/>
      <c r="G68" s="132"/>
      <c r="H68" s="132"/>
      <c r="I68" s="57"/>
      <c r="J68" s="149"/>
      <c r="K68" s="132"/>
      <c r="L68" s="132"/>
      <c r="M68" s="132"/>
      <c r="N68" s="132"/>
      <c r="O68" s="132"/>
      <c r="P68" s="132"/>
    </row>
    <row r="69" spans="1:16" ht="15" customHeight="1" x14ac:dyDescent="0.2">
      <c r="A69" s="58" t="s">
        <v>69</v>
      </c>
      <c r="B69" s="5" t="s">
        <v>317</v>
      </c>
      <c r="C69" s="132"/>
      <c r="D69" s="132"/>
      <c r="E69" s="132"/>
      <c r="F69" s="132"/>
      <c r="G69" s="132"/>
      <c r="H69" s="132"/>
      <c r="I69" s="58" t="s">
        <v>69</v>
      </c>
      <c r="J69" s="5" t="s">
        <v>317</v>
      </c>
      <c r="K69" s="132"/>
      <c r="L69" s="132"/>
      <c r="M69" s="132"/>
      <c r="N69" s="132"/>
      <c r="O69" s="132"/>
      <c r="P69" s="132"/>
    </row>
    <row r="70" spans="1:16" ht="15" customHeight="1" x14ac:dyDescent="0.2">
      <c r="A70" s="58"/>
      <c r="B70" s="149"/>
      <c r="C70" s="132"/>
      <c r="D70" s="132"/>
      <c r="E70" s="132"/>
      <c r="F70" s="132"/>
      <c r="G70" s="132"/>
      <c r="H70" s="132"/>
      <c r="I70" s="58"/>
      <c r="J70" s="149"/>
      <c r="K70" s="132"/>
      <c r="L70" s="132"/>
      <c r="M70" s="132"/>
      <c r="N70" s="132"/>
      <c r="O70" s="132"/>
      <c r="P70" s="132"/>
    </row>
    <row r="71" spans="1:16" ht="15" customHeight="1" x14ac:dyDescent="0.2">
      <c r="A71" s="58" t="s">
        <v>318</v>
      </c>
      <c r="B71" s="5" t="s">
        <v>319</v>
      </c>
      <c r="C71" s="132"/>
      <c r="D71" s="132"/>
      <c r="E71" s="132"/>
      <c r="F71" s="132"/>
      <c r="G71" s="132"/>
      <c r="H71" s="132"/>
      <c r="I71" s="58" t="s">
        <v>318</v>
      </c>
      <c r="J71" s="5" t="s">
        <v>319</v>
      </c>
      <c r="K71" s="132"/>
      <c r="L71" s="132"/>
      <c r="M71" s="132"/>
      <c r="N71" s="132"/>
      <c r="O71" s="132"/>
      <c r="P71" s="132"/>
    </row>
    <row r="72" spans="1:16" ht="15" customHeight="1" x14ac:dyDescent="0.2">
      <c r="A72" s="58"/>
      <c r="B72" s="149"/>
      <c r="C72" s="132"/>
      <c r="D72" s="132"/>
      <c r="E72" s="132"/>
      <c r="F72" s="132"/>
      <c r="G72" s="132"/>
      <c r="H72" s="132"/>
      <c r="I72" s="58"/>
      <c r="J72" s="149"/>
      <c r="K72" s="132"/>
      <c r="L72" s="132"/>
      <c r="M72" s="132"/>
      <c r="N72" s="132"/>
      <c r="O72" s="132"/>
      <c r="P72" s="132"/>
    </row>
    <row r="73" spans="1:16" ht="15" customHeight="1" x14ac:dyDescent="0.2">
      <c r="A73" s="866" t="s">
        <v>287</v>
      </c>
      <c r="B73" s="866"/>
      <c r="C73" s="199">
        <f t="shared" ref="C73:H73" si="23">SUM(C66+C68+C70+C72)</f>
        <v>0</v>
      </c>
      <c r="D73" s="199">
        <f t="shared" si="23"/>
        <v>0</v>
      </c>
      <c r="E73" s="199">
        <f t="shared" si="23"/>
        <v>0</v>
      </c>
      <c r="F73" s="199">
        <f t="shared" si="23"/>
        <v>0</v>
      </c>
      <c r="G73" s="199">
        <f t="shared" si="23"/>
        <v>0</v>
      </c>
      <c r="H73" s="199">
        <f t="shared" si="23"/>
        <v>0</v>
      </c>
      <c r="I73" s="866" t="s">
        <v>289</v>
      </c>
      <c r="J73" s="866"/>
      <c r="K73" s="199">
        <f t="shared" ref="K73:P73" si="24">SUM(K66:K72)</f>
        <v>10000000</v>
      </c>
      <c r="L73" s="199">
        <f t="shared" si="24"/>
        <v>10000000</v>
      </c>
      <c r="M73" s="199">
        <f t="shared" si="24"/>
        <v>10000000</v>
      </c>
      <c r="N73" s="199">
        <f t="shared" si="24"/>
        <v>10000000</v>
      </c>
      <c r="O73" s="199">
        <f t="shared" si="24"/>
        <v>10000000</v>
      </c>
      <c r="P73" s="199">
        <f t="shared" si="24"/>
        <v>10000000</v>
      </c>
    </row>
    <row r="74" spans="1:16" ht="15" customHeight="1" x14ac:dyDescent="0.2">
      <c r="A74" s="861" t="s">
        <v>284</v>
      </c>
      <c r="B74" s="861"/>
      <c r="C74" s="236">
        <f t="shared" ref="C74:H74" si="25">C63+C73</f>
        <v>6389844</v>
      </c>
      <c r="D74" s="236">
        <f t="shared" si="25"/>
        <v>590722132</v>
      </c>
      <c r="E74" s="236">
        <f t="shared" si="25"/>
        <v>594211447</v>
      </c>
      <c r="F74" s="236">
        <f t="shared" si="25"/>
        <v>599443423</v>
      </c>
      <c r="G74" s="236">
        <f t="shared" si="25"/>
        <v>795323881</v>
      </c>
      <c r="H74" s="236">
        <f t="shared" si="25"/>
        <v>675151600</v>
      </c>
      <c r="I74" s="861" t="s">
        <v>326</v>
      </c>
      <c r="J74" s="861" t="s">
        <v>271</v>
      </c>
      <c r="K74" s="236">
        <f t="shared" ref="K74:P74" si="26">K63+K73</f>
        <v>127867735</v>
      </c>
      <c r="L74" s="236">
        <f t="shared" si="26"/>
        <v>810209969</v>
      </c>
      <c r="M74" s="236">
        <f t="shared" si="26"/>
        <v>804557356</v>
      </c>
      <c r="N74" s="236">
        <f t="shared" si="26"/>
        <v>833576286</v>
      </c>
      <c r="O74" s="236">
        <f t="shared" si="26"/>
        <v>835746296</v>
      </c>
      <c r="P74" s="236">
        <f t="shared" si="26"/>
        <v>311490320</v>
      </c>
    </row>
    <row r="75" spans="1:16" ht="15" customHeight="1" x14ac:dyDescent="0.2">
      <c r="A75" s="860" t="s">
        <v>43</v>
      </c>
      <c r="B75" s="860"/>
      <c r="C75" s="169">
        <f t="shared" ref="C75:H75" si="27">C42+C74</f>
        <v>1128405000</v>
      </c>
      <c r="D75" s="169">
        <f t="shared" si="27"/>
        <v>2043098000</v>
      </c>
      <c r="E75" s="169">
        <f t="shared" si="27"/>
        <v>2078337468</v>
      </c>
      <c r="F75" s="169">
        <f t="shared" si="27"/>
        <v>2100941740</v>
      </c>
      <c r="G75" s="169">
        <f t="shared" si="27"/>
        <v>2475242960</v>
      </c>
      <c r="H75" s="169">
        <f t="shared" si="27"/>
        <v>2337138608</v>
      </c>
      <c r="I75" s="860" t="s">
        <v>325</v>
      </c>
      <c r="J75" s="860" t="s">
        <v>193</v>
      </c>
      <c r="K75" s="169">
        <f t="shared" ref="K75:P75" si="28">K42+K74</f>
        <v>1128405000</v>
      </c>
      <c r="L75" s="169">
        <f t="shared" si="28"/>
        <v>2043098000</v>
      </c>
      <c r="M75" s="169">
        <f t="shared" si="28"/>
        <v>2078337468</v>
      </c>
      <c r="N75" s="169">
        <f t="shared" si="28"/>
        <v>2100941740</v>
      </c>
      <c r="O75" s="169">
        <f t="shared" si="28"/>
        <v>2475242960</v>
      </c>
      <c r="P75" s="169">
        <f t="shared" si="28"/>
        <v>1333817719</v>
      </c>
    </row>
    <row r="76" spans="1:16" s="1" customFormat="1" x14ac:dyDescent="0.2">
      <c r="A76" s="206"/>
      <c r="B76" s="206"/>
      <c r="I76" s="206"/>
    </row>
    <row r="77" spans="1:16" s="1" customFormat="1" x14ac:dyDescent="0.2">
      <c r="A77" s="206"/>
      <c r="B77" s="206"/>
      <c r="I77" s="206"/>
    </row>
    <row r="78" spans="1:16" s="1" customFormat="1" x14ac:dyDescent="0.2">
      <c r="I78" s="206"/>
    </row>
    <row r="79" spans="1:16" s="1" customFormat="1" x14ac:dyDescent="0.2">
      <c r="I79" s="206"/>
    </row>
    <row r="80" spans="1:16" s="1" customFormat="1" x14ac:dyDescent="0.2">
      <c r="I80" s="206"/>
    </row>
    <row r="81" spans="9:9" s="1" customFormat="1" x14ac:dyDescent="0.2">
      <c r="I81" s="207"/>
    </row>
    <row r="82" spans="9:9" s="1" customFormat="1" x14ac:dyDescent="0.2"/>
    <row r="83" spans="9:9" s="1" customFormat="1" x14ac:dyDescent="0.2"/>
    <row r="84" spans="9:9" s="1" customFormat="1" x14ac:dyDescent="0.2"/>
    <row r="85" spans="9:9" s="1" customFormat="1" x14ac:dyDescent="0.2"/>
    <row r="86" spans="9:9" s="1" customFormat="1" x14ac:dyDescent="0.2"/>
    <row r="87" spans="9:9" s="1" customFormat="1" x14ac:dyDescent="0.2"/>
    <row r="88" spans="9:9" s="1" customFormat="1" x14ac:dyDescent="0.2"/>
    <row r="89" spans="9:9" s="1" customFormat="1" x14ac:dyDescent="0.2"/>
    <row r="90" spans="9:9" s="1" customFormat="1" x14ac:dyDescent="0.2"/>
    <row r="91" spans="9:9" s="1" customFormat="1" x14ac:dyDescent="0.2"/>
    <row r="92" spans="9:9" s="1" customFormat="1" x14ac:dyDescent="0.2"/>
    <row r="93" spans="9:9" s="1" customFormat="1" x14ac:dyDescent="0.2"/>
    <row r="94" spans="9:9" s="1" customFormat="1" x14ac:dyDescent="0.2"/>
    <row r="95" spans="9:9" s="1" customFormat="1" x14ac:dyDescent="0.2"/>
    <row r="96" spans="9:9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</sheetData>
  <mergeCells count="34">
    <mergeCell ref="N1:N2"/>
    <mergeCell ref="G1:G2"/>
    <mergeCell ref="H1:H2"/>
    <mergeCell ref="O1:O2"/>
    <mergeCell ref="P1:P2"/>
    <mergeCell ref="M1:M2"/>
    <mergeCell ref="A29:B29"/>
    <mergeCell ref="I29:J29"/>
    <mergeCell ref="A41:B41"/>
    <mergeCell ref="I41:J41"/>
    <mergeCell ref="A75:B75"/>
    <mergeCell ref="A74:B74"/>
    <mergeCell ref="A42:B42"/>
    <mergeCell ref="I42:J42"/>
    <mergeCell ref="A45:B45"/>
    <mergeCell ref="I45:J45"/>
    <mergeCell ref="I74:J74"/>
    <mergeCell ref="I75:J75"/>
    <mergeCell ref="I73:J73"/>
    <mergeCell ref="I44:J44"/>
    <mergeCell ref="A73:B73"/>
    <mergeCell ref="A44:B44"/>
    <mergeCell ref="E1:E2"/>
    <mergeCell ref="L1:L2"/>
    <mergeCell ref="A3:B3"/>
    <mergeCell ref="I3:J3"/>
    <mergeCell ref="J1:J2"/>
    <mergeCell ref="A1:A2"/>
    <mergeCell ref="B1:B2"/>
    <mergeCell ref="I1:I2"/>
    <mergeCell ref="D1:D2"/>
    <mergeCell ref="C1:C2"/>
    <mergeCell ref="K1:K2"/>
    <mergeCell ref="F1:F2"/>
  </mergeCells>
  <phoneticPr fontId="0" type="noConversion"/>
  <printOptions horizontalCentered="1"/>
  <pageMargins left="0.23622047244094491" right="0.23622047244094491" top="1.0236220472440944" bottom="0.19685039370078741" header="0.27559055118110237" footer="0.19685039370078741"/>
  <pageSetup paperSize="8" scale="68" fitToHeight="0" orientation="landscape" horizontalDpi="4294967294" r:id="rId1"/>
  <headerFooter alignWithMargins="0">
    <oddHeader>&amp;C&amp;"Garamond,Félkövér"&amp;12 11/2019. (V.17.)  számú költségvetési rendelethez
ZALAKAROS VÁROS ÖNKORMÁNYZATA ÉS KÖLTSÉGVETÉSI SZERVEI 
2018. ÉVI MŰKÖDÉSI ÉS FELHALMOZÁSI CÉLÚ BEVÉTELEI ÉS KIADÁSAI&amp;R&amp;A
&amp;P.oldal
forintban</oddHeader>
  </headerFooter>
  <rowBreaks count="1" manualBreakCount="1">
    <brk id="42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36"/>
  <sheetViews>
    <sheetView view="pageLayout" topLeftCell="A13" zoomScaleNormal="100" workbookViewId="0">
      <selection activeCell="J11" sqref="J11"/>
    </sheetView>
  </sheetViews>
  <sheetFormatPr defaultRowHeight="12.75" x14ac:dyDescent="0.2"/>
  <cols>
    <col min="1" max="1" width="9.140625" style="659"/>
    <col min="2" max="2" width="18" style="659" customWidth="1"/>
    <col min="3" max="3" width="12.140625" style="659" customWidth="1"/>
    <col min="4" max="4" width="32.140625" style="659" customWidth="1"/>
    <col min="5" max="5" width="12" style="659" customWidth="1"/>
    <col min="6" max="6" width="13.42578125" style="659" customWidth="1"/>
    <col min="7" max="16384" width="9.140625" style="659"/>
  </cols>
  <sheetData>
    <row r="1" spans="1:6" ht="21" customHeight="1" x14ac:dyDescent="0.2">
      <c r="A1" s="1126" t="s">
        <v>1563</v>
      </c>
      <c r="B1" s="1126"/>
      <c r="C1" s="1126"/>
      <c r="D1" s="1126"/>
      <c r="E1" s="1126"/>
      <c r="F1" s="1126"/>
    </row>
    <row r="2" spans="1:6" ht="18.75" customHeight="1" x14ac:dyDescent="0.2">
      <c r="A2" s="1127" t="s">
        <v>1616</v>
      </c>
      <c r="B2" s="1128"/>
      <c r="C2" s="1128"/>
      <c r="D2" s="1128"/>
      <c r="E2" s="1128"/>
      <c r="F2" s="1128"/>
    </row>
    <row r="3" spans="1:6" ht="18.75" customHeight="1" x14ac:dyDescent="0.2">
      <c r="A3" s="728"/>
      <c r="B3" s="728"/>
      <c r="C3" s="728"/>
      <c r="D3" s="728"/>
      <c r="E3" s="728"/>
      <c r="F3" s="728"/>
    </row>
    <row r="4" spans="1:6" x14ac:dyDescent="0.2">
      <c r="E4" s="660" t="s">
        <v>1600</v>
      </c>
    </row>
    <row r="5" spans="1:6" x14ac:dyDescent="0.2">
      <c r="A5" s="1129" t="s">
        <v>1564</v>
      </c>
      <c r="B5" s="1129" t="s">
        <v>15</v>
      </c>
      <c r="C5" s="1129" t="s">
        <v>1565</v>
      </c>
      <c r="D5" s="1130" t="s">
        <v>1566</v>
      </c>
      <c r="E5" s="1132" t="s">
        <v>1567</v>
      </c>
      <c r="F5" s="1132" t="s">
        <v>1568</v>
      </c>
    </row>
    <row r="6" spans="1:6" x14ac:dyDescent="0.2">
      <c r="A6" s="1129"/>
      <c r="B6" s="1129"/>
      <c r="C6" s="1129"/>
      <c r="D6" s="1131"/>
      <c r="E6" s="1132"/>
      <c r="F6" s="1132"/>
    </row>
    <row r="7" spans="1:6" ht="24.75" customHeight="1" x14ac:dyDescent="0.2">
      <c r="A7" s="764"/>
      <c r="B7" s="1123" t="s">
        <v>1601</v>
      </c>
      <c r="C7" s="1124"/>
      <c r="D7" s="1125"/>
      <c r="E7" s="774"/>
      <c r="F7" s="1107">
        <f>SUM(C8-E10)</f>
        <v>41</v>
      </c>
    </row>
    <row r="8" spans="1:6" ht="20.100000000000001" customHeight="1" x14ac:dyDescent="0.2">
      <c r="A8" s="1122" t="s">
        <v>2</v>
      </c>
      <c r="B8" s="1103" t="s">
        <v>1602</v>
      </c>
      <c r="C8" s="1118">
        <v>350000</v>
      </c>
      <c r="D8" s="765" t="s">
        <v>1961</v>
      </c>
      <c r="E8" s="774">
        <v>232959</v>
      </c>
      <c r="F8" s="1107"/>
    </row>
    <row r="9" spans="1:6" ht="20.100000000000001" customHeight="1" x14ac:dyDescent="0.2">
      <c r="A9" s="1117"/>
      <c r="B9" s="1104"/>
      <c r="C9" s="1119"/>
      <c r="D9" s="765" t="s">
        <v>1603</v>
      </c>
      <c r="E9" s="774">
        <v>117000</v>
      </c>
      <c r="F9" s="1107"/>
    </row>
    <row r="10" spans="1:6" ht="20.100000000000001" customHeight="1" x14ac:dyDescent="0.25">
      <c r="A10" s="1117"/>
      <c r="B10" s="1104"/>
      <c r="C10" s="1133"/>
      <c r="D10" s="766" t="s">
        <v>1572</v>
      </c>
      <c r="E10" s="775">
        <f>SUM(E8:E9)</f>
        <v>349959</v>
      </c>
      <c r="F10" s="1107"/>
    </row>
    <row r="11" spans="1:6" ht="20.100000000000001" customHeight="1" x14ac:dyDescent="0.2">
      <c r="A11" s="1122">
        <v>2</v>
      </c>
      <c r="B11" s="1103" t="s">
        <v>1604</v>
      </c>
      <c r="C11" s="1118">
        <v>150000</v>
      </c>
      <c r="D11" s="767" t="s">
        <v>1590</v>
      </c>
      <c r="E11" s="774">
        <v>96000</v>
      </c>
      <c r="F11" s="1107">
        <f>C11-E13</f>
        <v>1500</v>
      </c>
    </row>
    <row r="12" spans="1:6" ht="20.100000000000001" customHeight="1" x14ac:dyDescent="0.2">
      <c r="A12" s="1117"/>
      <c r="B12" s="1104"/>
      <c r="C12" s="1119"/>
      <c r="D12" s="767" t="s">
        <v>1962</v>
      </c>
      <c r="E12" s="774">
        <v>52500</v>
      </c>
      <c r="F12" s="1107"/>
    </row>
    <row r="13" spans="1:6" ht="20.100000000000001" customHeight="1" x14ac:dyDescent="0.25">
      <c r="A13" s="1117"/>
      <c r="B13" s="1104"/>
      <c r="C13" s="1119"/>
      <c r="D13" s="766" t="s">
        <v>1572</v>
      </c>
      <c r="E13" s="776">
        <f>SUM(E11:E12)</f>
        <v>148500</v>
      </c>
      <c r="F13" s="1107"/>
    </row>
    <row r="14" spans="1:6" ht="28.5" customHeight="1" x14ac:dyDescent="0.2">
      <c r="A14" s="1122">
        <v>3</v>
      </c>
      <c r="B14" s="1103" t="s">
        <v>1605</v>
      </c>
      <c r="C14" s="1118">
        <v>400000</v>
      </c>
      <c r="D14" s="767" t="s">
        <v>1963</v>
      </c>
      <c r="E14" s="777">
        <v>109870</v>
      </c>
      <c r="F14" s="1107">
        <f>C14-E16</f>
        <v>999</v>
      </c>
    </row>
    <row r="15" spans="1:6" ht="20.100000000000001" customHeight="1" x14ac:dyDescent="0.2">
      <c r="A15" s="1117"/>
      <c r="B15" s="1104"/>
      <c r="C15" s="1119"/>
      <c r="D15" s="767" t="s">
        <v>1606</v>
      </c>
      <c r="E15" s="777">
        <v>289131</v>
      </c>
      <c r="F15" s="1107"/>
    </row>
    <row r="16" spans="1:6" ht="20.100000000000001" customHeight="1" x14ac:dyDescent="0.25">
      <c r="A16" s="1117"/>
      <c r="B16" s="1104"/>
      <c r="C16" s="1119"/>
      <c r="D16" s="766" t="s">
        <v>1572</v>
      </c>
      <c r="E16" s="776">
        <f>SUM(E14:E15)</f>
        <v>399001</v>
      </c>
      <c r="F16" s="1107"/>
    </row>
    <row r="17" spans="1:6" ht="20.100000000000001" customHeight="1" x14ac:dyDescent="0.2">
      <c r="A17" s="1100" t="s">
        <v>6</v>
      </c>
      <c r="B17" s="1103" t="s">
        <v>1607</v>
      </c>
      <c r="C17" s="1118">
        <v>250000</v>
      </c>
      <c r="D17" s="767" t="s">
        <v>1608</v>
      </c>
      <c r="E17" s="777">
        <v>90000</v>
      </c>
      <c r="F17" s="1107">
        <v>0</v>
      </c>
    </row>
    <row r="18" spans="1:6" ht="20.100000000000001" customHeight="1" x14ac:dyDescent="0.2">
      <c r="A18" s="1117"/>
      <c r="B18" s="1104"/>
      <c r="C18" s="1119"/>
      <c r="D18" s="767" t="s">
        <v>1609</v>
      </c>
      <c r="E18" s="777">
        <v>160000</v>
      </c>
      <c r="F18" s="1107"/>
    </row>
    <row r="19" spans="1:6" ht="20.100000000000001" customHeight="1" x14ac:dyDescent="0.25">
      <c r="A19" s="1117"/>
      <c r="B19" s="1104"/>
      <c r="C19" s="1119"/>
      <c r="D19" s="766" t="s">
        <v>1572</v>
      </c>
      <c r="E19" s="778">
        <f>SUM(E17:E18)</f>
        <v>250000</v>
      </c>
      <c r="F19" s="1107"/>
    </row>
    <row r="20" spans="1:6" ht="34.5" customHeight="1" x14ac:dyDescent="0.2">
      <c r="A20" s="1100" t="s">
        <v>8</v>
      </c>
      <c r="B20" s="1120" t="s">
        <v>1610</v>
      </c>
      <c r="C20" s="1108">
        <v>177000</v>
      </c>
      <c r="D20" s="768" t="s">
        <v>1964</v>
      </c>
      <c r="E20" s="777">
        <v>177000</v>
      </c>
      <c r="F20" s="1107">
        <f>SUM(C20-E20)</f>
        <v>0</v>
      </c>
    </row>
    <row r="21" spans="1:6" ht="20.100000000000001" customHeight="1" x14ac:dyDescent="0.25">
      <c r="A21" s="1117"/>
      <c r="B21" s="1121"/>
      <c r="C21" s="1109"/>
      <c r="D21" s="766" t="s">
        <v>1572</v>
      </c>
      <c r="E21" s="776">
        <f>SUM(E20)</f>
        <v>177000</v>
      </c>
      <c r="F21" s="1107"/>
    </row>
    <row r="22" spans="1:6" ht="20.100000000000001" customHeight="1" x14ac:dyDescent="0.2">
      <c r="A22" s="1100" t="s">
        <v>21</v>
      </c>
      <c r="B22" s="1103" t="s">
        <v>1611</v>
      </c>
      <c r="C22" s="1108">
        <v>250000</v>
      </c>
      <c r="D22" s="767" t="s">
        <v>1965</v>
      </c>
      <c r="E22" s="774">
        <v>50000</v>
      </c>
      <c r="F22" s="1111">
        <f>C22-E24</f>
        <v>0</v>
      </c>
    </row>
    <row r="23" spans="1:6" ht="20.100000000000001" customHeight="1" x14ac:dyDescent="0.2">
      <c r="A23" s="1101"/>
      <c r="B23" s="1104"/>
      <c r="C23" s="1109"/>
      <c r="D23" s="767" t="s">
        <v>1966</v>
      </c>
      <c r="E23" s="774">
        <v>200000</v>
      </c>
      <c r="F23" s="1112"/>
    </row>
    <row r="24" spans="1:6" ht="20.100000000000001" customHeight="1" x14ac:dyDescent="0.25">
      <c r="A24" s="1102"/>
      <c r="B24" s="1105"/>
      <c r="C24" s="1110"/>
      <c r="D24" s="766" t="s">
        <v>1572</v>
      </c>
      <c r="E24" s="775">
        <f>SUM(E22:E23)</f>
        <v>250000</v>
      </c>
      <c r="F24" s="1113"/>
    </row>
    <row r="25" spans="1:6" ht="24.95" customHeight="1" x14ac:dyDescent="0.2">
      <c r="A25" s="1114" t="s">
        <v>17</v>
      </c>
      <c r="B25" s="1116" t="s">
        <v>1612</v>
      </c>
      <c r="C25" s="1106">
        <v>400000</v>
      </c>
      <c r="D25" s="767" t="s">
        <v>1613</v>
      </c>
      <c r="E25" s="777">
        <v>318900</v>
      </c>
      <c r="F25" s="1107">
        <f>C25-E27</f>
        <v>300</v>
      </c>
    </row>
    <row r="26" spans="1:6" ht="24.95" customHeight="1" x14ac:dyDescent="0.2">
      <c r="A26" s="1114"/>
      <c r="B26" s="1116"/>
      <c r="C26" s="1106"/>
      <c r="D26" s="767" t="s">
        <v>1967</v>
      </c>
      <c r="E26" s="777">
        <v>80800</v>
      </c>
      <c r="F26" s="1107"/>
    </row>
    <row r="27" spans="1:6" ht="20.100000000000001" customHeight="1" x14ac:dyDescent="0.25">
      <c r="A27" s="1115"/>
      <c r="B27" s="1116"/>
      <c r="C27" s="1106"/>
      <c r="D27" s="766" t="s">
        <v>1572</v>
      </c>
      <c r="E27" s="776">
        <f>SUM(E25:E26)</f>
        <v>399700</v>
      </c>
      <c r="F27" s="1107"/>
    </row>
    <row r="28" spans="1:6" ht="20.100000000000001" customHeight="1" x14ac:dyDescent="0.2">
      <c r="A28" s="1100" t="s">
        <v>22</v>
      </c>
      <c r="B28" s="1103" t="s">
        <v>1614</v>
      </c>
      <c r="C28" s="1106">
        <v>1000000</v>
      </c>
      <c r="D28" s="767" t="s">
        <v>1968</v>
      </c>
      <c r="E28" s="777">
        <v>199100</v>
      </c>
      <c r="F28" s="1107">
        <f>SUM(C28-E30)</f>
        <v>1900</v>
      </c>
    </row>
    <row r="29" spans="1:6" ht="20.100000000000001" customHeight="1" x14ac:dyDescent="0.2">
      <c r="A29" s="1101"/>
      <c r="B29" s="1104"/>
      <c r="C29" s="1106"/>
      <c r="D29" s="765" t="s">
        <v>1969</v>
      </c>
      <c r="E29" s="777">
        <v>799000</v>
      </c>
      <c r="F29" s="1107"/>
    </row>
    <row r="30" spans="1:6" ht="20.100000000000001" customHeight="1" x14ac:dyDescent="0.25">
      <c r="A30" s="1102"/>
      <c r="B30" s="1105"/>
      <c r="C30" s="1106"/>
      <c r="D30" s="766" t="s">
        <v>1572</v>
      </c>
      <c r="E30" s="776">
        <f>SUM(E28:E29)</f>
        <v>998100</v>
      </c>
      <c r="F30" s="1107"/>
    </row>
    <row r="31" spans="1:6" ht="33" customHeight="1" x14ac:dyDescent="0.25">
      <c r="A31" s="726" t="s">
        <v>257</v>
      </c>
      <c r="B31" s="727" t="s">
        <v>1970</v>
      </c>
      <c r="C31" s="769">
        <v>70000</v>
      </c>
      <c r="D31" s="767" t="s">
        <v>1971</v>
      </c>
      <c r="E31" s="776">
        <v>69800</v>
      </c>
      <c r="F31" s="773"/>
    </row>
    <row r="32" spans="1:6" ht="29.25" customHeight="1" x14ac:dyDescent="0.25">
      <c r="A32" s="770"/>
      <c r="B32" s="766" t="s">
        <v>1615</v>
      </c>
      <c r="C32" s="771">
        <f>SUM(C8:C31)</f>
        <v>3047000</v>
      </c>
      <c r="D32" s="766" t="s">
        <v>1572</v>
      </c>
      <c r="E32" s="775">
        <f>E30+E27+E24+E21+E19+E16+E13+E10+E31</f>
        <v>3042060</v>
      </c>
      <c r="F32" s="775">
        <f>SUM(F7:F30)</f>
        <v>4740</v>
      </c>
    </row>
    <row r="33" spans="1:6" ht="22.5" customHeight="1" x14ac:dyDescent="0.2">
      <c r="A33" s="661"/>
      <c r="B33" s="662"/>
      <c r="C33" s="663"/>
      <c r="D33" s="661"/>
      <c r="E33" s="661"/>
      <c r="F33" s="661"/>
    </row>
    <row r="34" spans="1:6" x14ac:dyDescent="0.2">
      <c r="A34" s="661"/>
      <c r="B34" s="664"/>
      <c r="C34" s="663"/>
      <c r="D34" s="661"/>
      <c r="E34" s="661"/>
      <c r="F34" s="661"/>
    </row>
    <row r="35" spans="1:6" x14ac:dyDescent="0.2">
      <c r="A35" s="661"/>
      <c r="B35" s="661"/>
      <c r="C35" s="665"/>
      <c r="D35" s="661"/>
      <c r="E35" s="661"/>
      <c r="F35" s="661"/>
    </row>
    <row r="36" spans="1:6" x14ac:dyDescent="0.2">
      <c r="C36" s="666"/>
    </row>
  </sheetData>
  <mergeCells count="41">
    <mergeCell ref="B7:D7"/>
    <mergeCell ref="F7:F10"/>
    <mergeCell ref="A8:A10"/>
    <mergeCell ref="B8:B10"/>
    <mergeCell ref="A1:F1"/>
    <mergeCell ref="A2:F2"/>
    <mergeCell ref="A5:A6"/>
    <mergeCell ref="B5:B6"/>
    <mergeCell ref="C5:C6"/>
    <mergeCell ref="D5:D6"/>
    <mergeCell ref="E5:E6"/>
    <mergeCell ref="F5:F6"/>
    <mergeCell ref="C8:C10"/>
    <mergeCell ref="A14:A16"/>
    <mergeCell ref="B14:B16"/>
    <mergeCell ref="C14:C16"/>
    <mergeCell ref="F14:F16"/>
    <mergeCell ref="A11:A13"/>
    <mergeCell ref="B11:B13"/>
    <mergeCell ref="C11:C13"/>
    <mergeCell ref="F11:F13"/>
    <mergeCell ref="A17:A19"/>
    <mergeCell ref="B17:B19"/>
    <mergeCell ref="C17:C19"/>
    <mergeCell ref="F17:F19"/>
    <mergeCell ref="A20:A21"/>
    <mergeCell ref="B20:B21"/>
    <mergeCell ref="C20:C21"/>
    <mergeCell ref="F20:F21"/>
    <mergeCell ref="A28:A30"/>
    <mergeCell ref="B28:B30"/>
    <mergeCell ref="C28:C30"/>
    <mergeCell ref="F28:F30"/>
    <mergeCell ref="A22:A24"/>
    <mergeCell ref="B22:B24"/>
    <mergeCell ref="C22:C24"/>
    <mergeCell ref="F22:F24"/>
    <mergeCell ref="A25:A27"/>
    <mergeCell ref="B25:B27"/>
    <mergeCell ref="C25:C27"/>
    <mergeCell ref="F25:F27"/>
  </mergeCells>
  <pageMargins left="0.74803149606299213" right="0.74803149606299213" top="0.98425196850393704" bottom="0.98425196850393704" header="0.51181102362204722" footer="0.51181102362204722"/>
  <pageSetup paperSize="9" scale="91" fitToHeight="0" orientation="portrait" r:id="rId1"/>
  <headerFooter alignWithMargins="0">
    <oddHeader>&amp;R25/b sz.melléklet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I254"/>
  <sheetViews>
    <sheetView topLeftCell="A35" zoomScaleNormal="100" zoomScaleSheetLayoutView="100" workbookViewId="0">
      <selection activeCell="H19" sqref="H19:H20"/>
    </sheetView>
  </sheetViews>
  <sheetFormatPr defaultColWidth="9.140625" defaultRowHeight="12.75" x14ac:dyDescent="0.2"/>
  <cols>
    <col min="1" max="1" width="5.140625" style="12" customWidth="1"/>
    <col min="2" max="2" width="60.5703125" style="12" customWidth="1"/>
    <col min="3" max="3" width="15.140625" style="12" customWidth="1"/>
    <col min="4" max="6" width="15" style="12" customWidth="1"/>
    <col min="7" max="7" width="14" style="12" customWidth="1"/>
    <col min="8" max="8" width="15.140625" style="12" customWidth="1"/>
    <col min="9" max="9" width="11.28515625" style="12" customWidth="1"/>
    <col min="10" max="16384" width="9.140625" style="12"/>
  </cols>
  <sheetData>
    <row r="2" spans="1:8" ht="0.95" customHeight="1" x14ac:dyDescent="0.2">
      <c r="A2" s="816" t="s">
        <v>20</v>
      </c>
      <c r="B2" s="817" t="s">
        <v>15</v>
      </c>
      <c r="C2" s="816" t="s">
        <v>246</v>
      </c>
      <c r="D2" s="848" t="s">
        <v>316</v>
      </c>
      <c r="E2" s="376"/>
      <c r="F2" s="480"/>
      <c r="G2" s="480"/>
      <c r="H2" s="480"/>
    </row>
    <row r="3" spans="1:8" ht="27" customHeight="1" x14ac:dyDescent="0.2">
      <c r="A3" s="816"/>
      <c r="B3" s="817"/>
      <c r="C3" s="816"/>
      <c r="D3" s="849"/>
      <c r="E3" s="377" t="s">
        <v>642</v>
      </c>
      <c r="F3" s="481" t="s">
        <v>780</v>
      </c>
      <c r="G3" s="481" t="s">
        <v>787</v>
      </c>
      <c r="H3" s="481" t="s">
        <v>788</v>
      </c>
    </row>
    <row r="4" spans="1:8" ht="20.100000000000001" customHeight="1" x14ac:dyDescent="0.25">
      <c r="A4" s="19" t="s">
        <v>67</v>
      </c>
      <c r="B4" s="42" t="s">
        <v>199</v>
      </c>
      <c r="C4" s="115"/>
      <c r="D4" s="115"/>
      <c r="E4" s="115"/>
      <c r="F4" s="115"/>
      <c r="G4" s="115"/>
      <c r="H4" s="115"/>
    </row>
    <row r="5" spans="1:8" ht="20.100000000000001" customHeight="1" x14ac:dyDescent="0.25">
      <c r="A5" s="19" t="s">
        <v>34</v>
      </c>
      <c r="B5" s="42" t="s">
        <v>200</v>
      </c>
      <c r="C5" s="14"/>
      <c r="D5" s="14"/>
      <c r="E5" s="14"/>
      <c r="F5" s="14"/>
      <c r="G5" s="14"/>
      <c r="H5" s="14"/>
    </row>
    <row r="6" spans="1:8" ht="20.100000000000001" customHeight="1" x14ac:dyDescent="0.25">
      <c r="A6" s="19">
        <v>1</v>
      </c>
      <c r="B6" s="42" t="s">
        <v>628</v>
      </c>
      <c r="C6" s="14"/>
      <c r="D6" s="14"/>
      <c r="E6" s="14"/>
      <c r="F6" s="14"/>
      <c r="G6" s="14"/>
      <c r="H6" s="14"/>
    </row>
    <row r="7" spans="1:8" ht="20.100000000000001" customHeight="1" x14ac:dyDescent="0.25">
      <c r="A7" s="19"/>
      <c r="B7" s="66" t="s">
        <v>249</v>
      </c>
      <c r="C7" s="14"/>
      <c r="D7" s="14"/>
      <c r="E7" s="14"/>
      <c r="F7" s="14"/>
      <c r="G7" s="14"/>
      <c r="H7" s="14"/>
    </row>
    <row r="8" spans="1:8" ht="20.100000000000001" customHeight="1" x14ac:dyDescent="0.2">
      <c r="A8" s="19"/>
      <c r="B8" s="96" t="s">
        <v>250</v>
      </c>
      <c r="C8" s="109">
        <f>'1.a szm.normatív támogatás '!D25</f>
        <v>231216000</v>
      </c>
      <c r="D8" s="109">
        <f>'1.a szm.normatív támogatás '!G25</f>
        <v>252740697</v>
      </c>
      <c r="E8" s="215">
        <f>'[1]1.a számú melléklet '!J25</f>
        <v>253044355</v>
      </c>
      <c r="F8" s="109">
        <v>253044355</v>
      </c>
      <c r="G8" s="109">
        <f>F8</f>
        <v>253044355</v>
      </c>
      <c r="H8" s="215">
        <v>253044355</v>
      </c>
    </row>
    <row r="9" spans="1:8" ht="20.100000000000001" customHeight="1" x14ac:dyDescent="0.2">
      <c r="A9" s="19"/>
      <c r="B9" s="92" t="s">
        <v>251</v>
      </c>
      <c r="C9" s="109">
        <f>'1.a szm.normatív támogatás '!D32</f>
        <v>48650467</v>
      </c>
      <c r="D9" s="109">
        <f>'1.a szm.normatív támogatás '!G32</f>
        <v>49337467</v>
      </c>
      <c r="E9" s="215">
        <f>'[1]1.a számú melléklet '!J32</f>
        <v>49337467</v>
      </c>
      <c r="F9" s="109">
        <v>49337467</v>
      </c>
      <c r="G9" s="109">
        <f>F9+18517</f>
        <v>49355984</v>
      </c>
      <c r="H9" s="215">
        <v>49355984</v>
      </c>
    </row>
    <row r="10" spans="1:8" ht="20.100000000000001" customHeight="1" x14ac:dyDescent="0.2">
      <c r="A10" s="19"/>
      <c r="B10" s="92" t="s">
        <v>252</v>
      </c>
      <c r="C10" s="109">
        <f>'1.a szm.normatív támogatás '!D48</f>
        <v>49708348</v>
      </c>
      <c r="D10" s="109">
        <f>'1.a szm.normatív támogatás '!G48</f>
        <v>64277576</v>
      </c>
      <c r="E10" s="215">
        <f>'[1]1.a számú melléklet '!J48</f>
        <v>66550303</v>
      </c>
      <c r="F10" s="109">
        <v>68383226</v>
      </c>
      <c r="G10" s="109">
        <f>F10+1779210</f>
        <v>70162436</v>
      </c>
      <c r="H10" s="215">
        <v>70162436</v>
      </c>
    </row>
    <row r="11" spans="1:8" ht="20.100000000000001" customHeight="1" x14ac:dyDescent="0.2">
      <c r="A11" s="19"/>
      <c r="B11" s="92" t="s">
        <v>253</v>
      </c>
      <c r="C11" s="109">
        <f>'1.a szm.normatív támogatás '!D52</f>
        <v>2815800</v>
      </c>
      <c r="D11" s="109">
        <f>'1.a szm.normatív támogatás '!G52</f>
        <v>2974180</v>
      </c>
      <c r="E11" s="215">
        <f>'[1]1.a számú melléklet '!J52</f>
        <v>3333169</v>
      </c>
      <c r="F11" s="109">
        <v>3623884</v>
      </c>
      <c r="G11" s="109">
        <f>F11+218041</f>
        <v>3841925</v>
      </c>
      <c r="H11" s="215">
        <v>3841925</v>
      </c>
    </row>
    <row r="12" spans="1:8" ht="20.100000000000001" customHeight="1" x14ac:dyDescent="0.2">
      <c r="A12" s="19"/>
      <c r="B12" s="92" t="s">
        <v>344</v>
      </c>
      <c r="C12" s="109"/>
      <c r="D12" s="109"/>
      <c r="E12" s="215">
        <f>'[1]1.a számú melléklet '!J57</f>
        <v>2624480</v>
      </c>
      <c r="F12" s="109">
        <v>7380817</v>
      </c>
      <c r="G12" s="109">
        <f>F12+1124185</f>
        <v>8505002</v>
      </c>
      <c r="H12" s="215">
        <v>8505002</v>
      </c>
    </row>
    <row r="13" spans="1:8" ht="20.100000000000001" customHeight="1" x14ac:dyDescent="0.2">
      <c r="A13" s="19"/>
      <c r="B13" s="92" t="s">
        <v>664</v>
      </c>
      <c r="C13" s="109"/>
      <c r="D13" s="109"/>
      <c r="E13" s="215">
        <f>'[1]1.a számú melléklet '!J59</f>
        <v>1102420</v>
      </c>
      <c r="F13" s="109">
        <v>1102420</v>
      </c>
      <c r="G13" s="109">
        <f>F13</f>
        <v>1102420</v>
      </c>
      <c r="H13" s="215">
        <v>1102420</v>
      </c>
    </row>
    <row r="14" spans="1:8" ht="20.100000000000001" customHeight="1" x14ac:dyDescent="0.2">
      <c r="A14" s="19"/>
      <c r="B14" s="170" t="s">
        <v>201</v>
      </c>
      <c r="C14" s="210">
        <f>SUM(C8:C13)</f>
        <v>332390615</v>
      </c>
      <c r="D14" s="210">
        <f>SUM(D8:D13)</f>
        <v>369329920</v>
      </c>
      <c r="E14" s="210">
        <f>SUM(E8:E13)</f>
        <v>375992194</v>
      </c>
      <c r="F14" s="210">
        <f t="shared" ref="F14:H14" si="0">SUM(F8:F13)</f>
        <v>382872169</v>
      </c>
      <c r="G14" s="210">
        <f t="shared" si="0"/>
        <v>386012122</v>
      </c>
      <c r="H14" s="210">
        <f t="shared" si="0"/>
        <v>386012122</v>
      </c>
    </row>
    <row r="15" spans="1:8" ht="20.100000000000001" customHeight="1" x14ac:dyDescent="0.2">
      <c r="A15" s="19"/>
      <c r="B15" s="170" t="s">
        <v>534</v>
      </c>
      <c r="C15" s="210"/>
      <c r="D15" s="210"/>
      <c r="E15" s="210">
        <v>10627629</v>
      </c>
      <c r="F15" s="210">
        <v>10627629</v>
      </c>
      <c r="G15" s="210">
        <f>F15</f>
        <v>10627629</v>
      </c>
      <c r="H15" s="210">
        <v>10627629</v>
      </c>
    </row>
    <row r="16" spans="1:8" ht="20.100000000000001" customHeight="1" x14ac:dyDescent="0.2">
      <c r="A16" s="90"/>
      <c r="B16" s="89" t="s">
        <v>665</v>
      </c>
      <c r="C16" s="109"/>
      <c r="D16" s="109"/>
      <c r="E16" s="109"/>
      <c r="F16" s="109"/>
      <c r="G16" s="109"/>
      <c r="H16" s="215"/>
    </row>
    <row r="17" spans="1:8" ht="20.100000000000001" customHeight="1" x14ac:dyDescent="0.2">
      <c r="A17" s="19"/>
      <c r="B17" s="94" t="s">
        <v>535</v>
      </c>
      <c r="C17" s="109">
        <v>12898179</v>
      </c>
      <c r="D17" s="109">
        <v>10326772</v>
      </c>
      <c r="E17" s="109">
        <v>9233588</v>
      </c>
      <c r="F17" s="109">
        <v>9233588</v>
      </c>
      <c r="G17" s="109">
        <f>F17</f>
        <v>9233588</v>
      </c>
      <c r="H17" s="215">
        <v>9233588</v>
      </c>
    </row>
    <row r="18" spans="1:8" ht="20.100000000000001" customHeight="1" x14ac:dyDescent="0.2">
      <c r="A18" s="19"/>
      <c r="B18" s="94" t="s">
        <v>797</v>
      </c>
      <c r="C18" s="109">
        <v>4671600</v>
      </c>
      <c r="D18" s="109">
        <v>5521200</v>
      </c>
      <c r="E18" s="109">
        <v>5521200</v>
      </c>
      <c r="F18" s="109">
        <v>10106771</v>
      </c>
      <c r="G18" s="109">
        <f>F18-9171</f>
        <v>10097600</v>
      </c>
      <c r="H18" s="215">
        <v>10097600</v>
      </c>
    </row>
    <row r="19" spans="1:8" ht="20.100000000000001" customHeight="1" x14ac:dyDescent="0.2">
      <c r="A19" s="19"/>
      <c r="B19" s="92" t="s">
        <v>536</v>
      </c>
      <c r="C19" s="109">
        <v>210000</v>
      </c>
      <c r="D19" s="109">
        <v>70000</v>
      </c>
      <c r="E19" s="109">
        <v>70000</v>
      </c>
      <c r="F19" s="109">
        <v>70000</v>
      </c>
      <c r="G19" s="109">
        <f>F19+246239</f>
        <v>316239</v>
      </c>
      <c r="H19" s="215">
        <f>134162+182077</f>
        <v>316239</v>
      </c>
    </row>
    <row r="20" spans="1:8" ht="20.100000000000001" customHeight="1" x14ac:dyDescent="0.2">
      <c r="A20" s="19"/>
      <c r="B20" s="92" t="s">
        <v>537</v>
      </c>
      <c r="C20" s="109">
        <v>70000</v>
      </c>
      <c r="D20" s="109"/>
      <c r="E20" s="109"/>
      <c r="F20" s="109"/>
      <c r="G20" s="109">
        <v>38332</v>
      </c>
      <c r="H20" s="215">
        <v>38332</v>
      </c>
    </row>
    <row r="21" spans="1:8" ht="20.100000000000001" customHeight="1" x14ac:dyDescent="0.2">
      <c r="A21" s="19"/>
      <c r="B21" s="92" t="s">
        <v>614</v>
      </c>
      <c r="C21" s="109"/>
      <c r="D21" s="109">
        <v>2416860</v>
      </c>
      <c r="E21" s="109">
        <v>2416860</v>
      </c>
      <c r="F21" s="109">
        <v>2416860</v>
      </c>
      <c r="G21" s="109">
        <v>2416860</v>
      </c>
      <c r="H21" s="215"/>
    </row>
    <row r="22" spans="1:8" ht="20.100000000000001" customHeight="1" x14ac:dyDescent="0.2">
      <c r="A22" s="19"/>
      <c r="B22" s="92" t="s">
        <v>615</v>
      </c>
      <c r="C22" s="109"/>
      <c r="D22" s="109">
        <v>39864247</v>
      </c>
      <c r="E22" s="109">
        <v>39864247</v>
      </c>
      <c r="F22" s="109">
        <v>39864247</v>
      </c>
      <c r="G22" s="109">
        <v>40632353</v>
      </c>
      <c r="H22" s="215">
        <v>40632353</v>
      </c>
    </row>
    <row r="23" spans="1:8" ht="20.100000000000001" customHeight="1" x14ac:dyDescent="0.2">
      <c r="A23" s="19"/>
      <c r="B23" s="92" t="s">
        <v>616</v>
      </c>
      <c r="C23" s="109"/>
      <c r="D23" s="109">
        <v>671146</v>
      </c>
      <c r="E23" s="109">
        <v>671146</v>
      </c>
      <c r="F23" s="109">
        <v>671146</v>
      </c>
      <c r="G23" s="109">
        <v>671146</v>
      </c>
      <c r="H23" s="215"/>
    </row>
    <row r="24" spans="1:8" ht="20.100000000000001" customHeight="1" x14ac:dyDescent="0.2">
      <c r="A24" s="19"/>
      <c r="B24" s="92" t="s">
        <v>617</v>
      </c>
      <c r="C24" s="109"/>
      <c r="D24" s="109">
        <v>3842000</v>
      </c>
      <c r="E24" s="109">
        <v>3842000</v>
      </c>
      <c r="F24" s="109">
        <v>3842000</v>
      </c>
      <c r="G24" s="109">
        <v>47213737</v>
      </c>
      <c r="H24" s="215">
        <v>47213737</v>
      </c>
    </row>
    <row r="25" spans="1:8" ht="16.5" customHeight="1" x14ac:dyDescent="0.2">
      <c r="A25" s="19"/>
      <c r="B25" s="92" t="s">
        <v>666</v>
      </c>
      <c r="C25" s="211"/>
      <c r="D25" s="211"/>
      <c r="E25" s="211">
        <v>223740</v>
      </c>
      <c r="F25" s="211">
        <v>223740</v>
      </c>
      <c r="G25" s="211">
        <v>223740</v>
      </c>
      <c r="H25" s="667">
        <v>223740</v>
      </c>
    </row>
    <row r="26" spans="1:8" ht="16.5" customHeight="1" x14ac:dyDescent="0.2">
      <c r="A26" s="19"/>
      <c r="B26" s="92" t="s">
        <v>670</v>
      </c>
      <c r="C26" s="211"/>
      <c r="D26" s="211"/>
      <c r="E26" s="211">
        <v>6270</v>
      </c>
      <c r="F26" s="211">
        <v>6270</v>
      </c>
      <c r="G26" s="211">
        <v>6270</v>
      </c>
      <c r="H26" s="667">
        <v>6270</v>
      </c>
    </row>
    <row r="27" spans="1:8" ht="16.5" customHeight="1" x14ac:dyDescent="0.2">
      <c r="A27" s="19"/>
      <c r="B27" s="92" t="s">
        <v>798</v>
      </c>
      <c r="C27" s="211"/>
      <c r="D27" s="211"/>
      <c r="E27" s="211"/>
      <c r="F27" s="211">
        <v>154000</v>
      </c>
      <c r="G27" s="211">
        <f>F27+130000</f>
        <v>284000</v>
      </c>
      <c r="H27" s="667">
        <v>284000</v>
      </c>
    </row>
    <row r="28" spans="1:8" ht="16.5" customHeight="1" x14ac:dyDescent="0.2">
      <c r="A28" s="19"/>
      <c r="B28" s="92" t="s">
        <v>842</v>
      </c>
      <c r="C28" s="211"/>
      <c r="D28" s="211"/>
      <c r="E28" s="211"/>
      <c r="F28" s="211">
        <v>4773729</v>
      </c>
      <c r="G28" s="211">
        <f>F28</f>
        <v>4773729</v>
      </c>
      <c r="H28" s="667">
        <v>4773729</v>
      </c>
    </row>
    <row r="29" spans="1:8" ht="20.100000000000001" customHeight="1" x14ac:dyDescent="0.2">
      <c r="A29" s="19"/>
      <c r="B29" s="171" t="s">
        <v>213</v>
      </c>
      <c r="C29" s="210">
        <f t="shared" ref="C29:H29" si="1">SUM(C17:C28)</f>
        <v>17849779</v>
      </c>
      <c r="D29" s="210">
        <f t="shared" si="1"/>
        <v>62712225</v>
      </c>
      <c r="E29" s="210">
        <f t="shared" si="1"/>
        <v>61849051</v>
      </c>
      <c r="F29" s="210">
        <f t="shared" si="1"/>
        <v>71362351</v>
      </c>
      <c r="G29" s="210">
        <f t="shared" si="1"/>
        <v>115907594</v>
      </c>
      <c r="H29" s="210">
        <f t="shared" si="1"/>
        <v>112819588</v>
      </c>
    </row>
    <row r="30" spans="1:8" ht="20.100000000000001" customHeight="1" x14ac:dyDescent="0.25">
      <c r="A30" s="19"/>
      <c r="B30" s="172" t="s">
        <v>629</v>
      </c>
      <c r="C30" s="212">
        <f>C14+C29</f>
        <v>350240394</v>
      </c>
      <c r="D30" s="212">
        <f>D14+D29</f>
        <v>432042145</v>
      </c>
      <c r="E30" s="212">
        <f>E14+E29+E15</f>
        <v>448468874</v>
      </c>
      <c r="F30" s="212">
        <f t="shared" ref="F30:H30" si="2">F14+F29+F15</f>
        <v>464862149</v>
      </c>
      <c r="G30" s="212">
        <f t="shared" si="2"/>
        <v>512547345</v>
      </c>
      <c r="H30" s="212">
        <f t="shared" si="2"/>
        <v>509459339</v>
      </c>
    </row>
    <row r="31" spans="1:8" ht="20.100000000000001" customHeight="1" x14ac:dyDescent="0.25">
      <c r="A31" s="19" t="s">
        <v>4</v>
      </c>
      <c r="B31" s="42" t="s">
        <v>630</v>
      </c>
      <c r="C31" s="352"/>
      <c r="D31" s="352"/>
      <c r="E31" s="352"/>
      <c r="F31" s="352"/>
      <c r="G31" s="352"/>
      <c r="H31" s="352"/>
    </row>
    <row r="32" spans="1:8" ht="20.100000000000001" customHeight="1" x14ac:dyDescent="0.2">
      <c r="A32" s="19"/>
      <c r="B32" s="91" t="s">
        <v>631</v>
      </c>
      <c r="C32" s="353"/>
      <c r="D32" s="353"/>
      <c r="E32" s="353"/>
      <c r="F32" s="353"/>
      <c r="G32" s="353"/>
      <c r="H32" s="353"/>
    </row>
    <row r="33" spans="1:9" ht="20.100000000000001" customHeight="1" x14ac:dyDescent="0.2">
      <c r="A33" s="19"/>
      <c r="B33" s="91" t="s">
        <v>667</v>
      </c>
      <c r="C33" s="353"/>
      <c r="D33" s="353">
        <v>14258924</v>
      </c>
      <c r="E33" s="353">
        <f>'1.a szm.normatív támogatás '!M64</f>
        <v>14258924</v>
      </c>
      <c r="F33" s="353">
        <v>14258924</v>
      </c>
      <c r="G33" s="353">
        <f>F33</f>
        <v>14258924</v>
      </c>
      <c r="H33" s="353">
        <v>14258924</v>
      </c>
    </row>
    <row r="34" spans="1:9" ht="20.100000000000001" customHeight="1" x14ac:dyDescent="0.2">
      <c r="A34" s="19"/>
      <c r="B34" s="91" t="s">
        <v>668</v>
      </c>
      <c r="C34" s="353"/>
      <c r="D34" s="353"/>
      <c r="E34" s="353">
        <f>'1.a szm.normatív támogatás '!M65</f>
        <v>539315</v>
      </c>
      <c r="F34" s="353">
        <v>539315</v>
      </c>
      <c r="G34" s="353">
        <f>F34</f>
        <v>539315</v>
      </c>
      <c r="H34" s="353">
        <v>539315</v>
      </c>
    </row>
    <row r="35" spans="1:9" ht="20.100000000000001" customHeight="1" x14ac:dyDescent="0.25">
      <c r="A35" s="19"/>
      <c r="B35" s="151" t="s">
        <v>632</v>
      </c>
      <c r="C35" s="214">
        <f>SUM(C33:C34)</f>
        <v>0</v>
      </c>
      <c r="D35" s="214">
        <f>SUM(D33:D34)</f>
        <v>14258924</v>
      </c>
      <c r="E35" s="214">
        <f>SUM(E33:E34)</f>
        <v>14798239</v>
      </c>
      <c r="F35" s="214">
        <f t="shared" ref="F35:H35" si="3">SUM(F33:F34)</f>
        <v>14798239</v>
      </c>
      <c r="G35" s="214">
        <f t="shared" si="3"/>
        <v>14798239</v>
      </c>
      <c r="H35" s="214">
        <f t="shared" si="3"/>
        <v>14798239</v>
      </c>
    </row>
    <row r="36" spans="1:9" ht="20.100000000000001" customHeight="1" x14ac:dyDescent="0.2">
      <c r="A36" s="19"/>
      <c r="B36" s="91" t="s">
        <v>634</v>
      </c>
      <c r="C36" s="110"/>
      <c r="D36" s="110"/>
      <c r="E36" s="110"/>
      <c r="F36" s="110"/>
      <c r="G36" s="110"/>
      <c r="H36" s="110"/>
    </row>
    <row r="37" spans="1:9" ht="20.100000000000001" customHeight="1" x14ac:dyDescent="0.2">
      <c r="A37" s="19"/>
      <c r="B37" s="92" t="s">
        <v>671</v>
      </c>
      <c r="C37" s="215"/>
      <c r="D37" s="215">
        <v>88550534</v>
      </c>
      <c r="E37" s="215">
        <v>88550534</v>
      </c>
      <c r="F37" s="215">
        <v>88550534</v>
      </c>
      <c r="G37" s="215">
        <v>88550534</v>
      </c>
      <c r="H37" s="215"/>
    </row>
    <row r="38" spans="1:9" ht="20.100000000000001" customHeight="1" x14ac:dyDescent="0.2">
      <c r="A38" s="19"/>
      <c r="B38" s="92" t="s">
        <v>672</v>
      </c>
      <c r="C38" s="215"/>
      <c r="D38" s="215">
        <v>193464555</v>
      </c>
      <c r="E38" s="215">
        <v>193464555</v>
      </c>
      <c r="F38" s="215">
        <v>193464555</v>
      </c>
      <c r="G38" s="215">
        <v>192985216</v>
      </c>
      <c r="H38" s="215">
        <v>192985216</v>
      </c>
    </row>
    <row r="39" spans="1:9" ht="20.100000000000001" customHeight="1" x14ac:dyDescent="0.2">
      <c r="A39" s="19"/>
      <c r="B39" s="92" t="s">
        <v>673</v>
      </c>
      <c r="C39" s="215"/>
      <c r="D39" s="215">
        <v>26389771</v>
      </c>
      <c r="E39" s="215">
        <v>26389771</v>
      </c>
      <c r="F39" s="215">
        <v>26389771</v>
      </c>
      <c r="G39" s="215">
        <v>26389771</v>
      </c>
      <c r="H39" s="215"/>
    </row>
    <row r="40" spans="1:9" ht="20.100000000000001" customHeight="1" x14ac:dyDescent="0.2">
      <c r="A40" s="19"/>
      <c r="B40" s="92" t="s">
        <v>674</v>
      </c>
      <c r="C40" s="215"/>
      <c r="D40" s="215">
        <v>246981400</v>
      </c>
      <c r="E40" s="215">
        <v>246981400</v>
      </c>
      <c r="F40" s="215">
        <v>246981400</v>
      </c>
      <c r="G40" s="215">
        <v>433111985</v>
      </c>
      <c r="H40" s="215">
        <v>433111985</v>
      </c>
    </row>
    <row r="41" spans="1:9" ht="20.100000000000001" customHeight="1" x14ac:dyDescent="0.25">
      <c r="A41" s="19"/>
      <c r="B41" s="151" t="s">
        <v>669</v>
      </c>
      <c r="C41" s="214">
        <f>SUM(C36:C40)</f>
        <v>0</v>
      </c>
      <c r="D41" s="214">
        <f>SUM(D37:D40)</f>
        <v>555386260</v>
      </c>
      <c r="E41" s="214">
        <f>SUM(E37:E40)</f>
        <v>555386260</v>
      </c>
      <c r="F41" s="214">
        <f t="shared" ref="F41:H41" si="4">SUM(F37:F40)</f>
        <v>555386260</v>
      </c>
      <c r="G41" s="214">
        <f t="shared" si="4"/>
        <v>741037506</v>
      </c>
      <c r="H41" s="214">
        <f t="shared" si="4"/>
        <v>626097201</v>
      </c>
    </row>
    <row r="42" spans="1:9" ht="20.100000000000001" customHeight="1" x14ac:dyDescent="0.25">
      <c r="A42" s="19"/>
      <c r="B42" s="172" t="s">
        <v>633</v>
      </c>
      <c r="C42" s="212">
        <f t="shared" ref="C42:E42" si="5">C35+C41</f>
        <v>0</v>
      </c>
      <c r="D42" s="212">
        <f t="shared" si="5"/>
        <v>569645184</v>
      </c>
      <c r="E42" s="212">
        <f t="shared" si="5"/>
        <v>570184499</v>
      </c>
      <c r="F42" s="212">
        <f t="shared" ref="F42:H42" si="6">F35+F41</f>
        <v>570184499</v>
      </c>
      <c r="G42" s="212">
        <f t="shared" si="6"/>
        <v>755835745</v>
      </c>
      <c r="H42" s="212">
        <f t="shared" si="6"/>
        <v>640895440</v>
      </c>
    </row>
    <row r="43" spans="1:9" ht="20.100000000000001" customHeight="1" x14ac:dyDescent="0.25">
      <c r="A43" s="19" t="s">
        <v>5</v>
      </c>
      <c r="B43" s="42" t="s">
        <v>203</v>
      </c>
      <c r="C43" s="110"/>
      <c r="D43" s="110"/>
      <c r="E43" s="110"/>
      <c r="F43" s="110"/>
      <c r="G43" s="110"/>
      <c r="H43" s="110"/>
    </row>
    <row r="44" spans="1:9" ht="20.100000000000001" customHeight="1" x14ac:dyDescent="0.2">
      <c r="A44" s="19"/>
      <c r="B44" s="91" t="s">
        <v>675</v>
      </c>
      <c r="C44" s="109">
        <v>44000000</v>
      </c>
      <c r="D44" s="109">
        <v>48000000</v>
      </c>
      <c r="E44" s="109">
        <v>48000000</v>
      </c>
      <c r="F44" s="109">
        <v>48000000</v>
      </c>
      <c r="G44" s="109">
        <v>58045388</v>
      </c>
      <c r="H44" s="215">
        <v>58045388</v>
      </c>
      <c r="I44" s="489"/>
    </row>
    <row r="45" spans="1:9" ht="20.100000000000001" customHeight="1" x14ac:dyDescent="0.2">
      <c r="A45" s="19"/>
      <c r="B45" s="91" t="s">
        <v>676</v>
      </c>
      <c r="C45" s="109">
        <v>11500000</v>
      </c>
      <c r="D45" s="109">
        <v>6000000</v>
      </c>
      <c r="E45" s="109">
        <v>6000000</v>
      </c>
      <c r="F45" s="109">
        <v>6000000</v>
      </c>
      <c r="G45" s="109">
        <v>7968340</v>
      </c>
      <c r="H45" s="215">
        <v>7968340</v>
      </c>
      <c r="I45" s="489"/>
    </row>
    <row r="46" spans="1:9" ht="20.100000000000001" customHeight="1" x14ac:dyDescent="0.2">
      <c r="A46" s="19"/>
      <c r="B46" s="94" t="s">
        <v>677</v>
      </c>
      <c r="C46" s="109">
        <v>200000000</v>
      </c>
      <c r="D46" s="109">
        <v>240000000</v>
      </c>
      <c r="E46" s="109">
        <v>240000000</v>
      </c>
      <c r="F46" s="109">
        <v>240000000</v>
      </c>
      <c r="G46" s="109">
        <v>273206415</v>
      </c>
      <c r="H46" s="215">
        <v>273206415</v>
      </c>
      <c r="I46" s="489"/>
    </row>
    <row r="47" spans="1:9" ht="20.100000000000001" customHeight="1" x14ac:dyDescent="0.2">
      <c r="A47" s="19"/>
      <c r="B47" s="91" t="s">
        <v>678</v>
      </c>
      <c r="C47" s="109">
        <v>145000000</v>
      </c>
      <c r="D47" s="109">
        <v>170000000</v>
      </c>
      <c r="E47" s="109">
        <v>170000000</v>
      </c>
      <c r="F47" s="109">
        <v>170000000</v>
      </c>
      <c r="G47" s="109">
        <v>210238308</v>
      </c>
      <c r="H47" s="215">
        <v>210238308</v>
      </c>
      <c r="I47" s="489"/>
    </row>
    <row r="48" spans="1:9" ht="20.100000000000001" customHeight="1" x14ac:dyDescent="0.2">
      <c r="A48" s="19"/>
      <c r="B48" s="91" t="s">
        <v>679</v>
      </c>
      <c r="C48" s="213">
        <v>9000000</v>
      </c>
      <c r="D48" s="213">
        <v>9000000</v>
      </c>
      <c r="E48" s="213">
        <v>9000000</v>
      </c>
      <c r="F48" s="213">
        <v>9000000</v>
      </c>
      <c r="G48" s="213">
        <v>11081029</v>
      </c>
      <c r="H48" s="213">
        <v>11081029</v>
      </c>
      <c r="I48" s="489"/>
    </row>
    <row r="49" spans="1:9" ht="20.100000000000001" customHeight="1" x14ac:dyDescent="0.2">
      <c r="A49" s="19"/>
      <c r="B49" s="91" t="s">
        <v>680</v>
      </c>
      <c r="C49" s="213">
        <v>500000</v>
      </c>
      <c r="D49" s="213">
        <v>500000</v>
      </c>
      <c r="E49" s="213">
        <v>500000</v>
      </c>
      <c r="F49" s="213">
        <v>500000</v>
      </c>
      <c r="G49" s="213">
        <v>1241049</v>
      </c>
      <c r="H49" s="213">
        <v>1241049</v>
      </c>
      <c r="I49" s="489"/>
    </row>
    <row r="50" spans="1:9" ht="20.100000000000001" customHeight="1" x14ac:dyDescent="0.25">
      <c r="A50" s="19"/>
      <c r="B50" s="151" t="s">
        <v>77</v>
      </c>
      <c r="C50" s="214">
        <f t="shared" ref="C50:E50" si="7">SUM(C44:C49)</f>
        <v>410000000</v>
      </c>
      <c r="D50" s="214">
        <f t="shared" si="7"/>
        <v>473500000</v>
      </c>
      <c r="E50" s="214">
        <f t="shared" si="7"/>
        <v>473500000</v>
      </c>
      <c r="F50" s="214">
        <f t="shared" ref="F50:H50" si="8">SUM(F44:F49)</f>
        <v>473500000</v>
      </c>
      <c r="G50" s="214">
        <f t="shared" si="8"/>
        <v>561780529</v>
      </c>
      <c r="H50" s="214">
        <f t="shared" si="8"/>
        <v>561780529</v>
      </c>
    </row>
    <row r="51" spans="1:9" ht="20.100000000000001" customHeight="1" x14ac:dyDescent="0.25">
      <c r="A51" s="19" t="s">
        <v>6</v>
      </c>
      <c r="B51" s="151" t="s">
        <v>204</v>
      </c>
      <c r="C51" s="214">
        <v>74320128</v>
      </c>
      <c r="D51" s="214">
        <v>80313766</v>
      </c>
      <c r="E51" s="214">
        <v>80313766</v>
      </c>
      <c r="F51" s="214">
        <f>80313766+923513</f>
        <v>81237279</v>
      </c>
      <c r="G51" s="214">
        <v>89038368</v>
      </c>
      <c r="H51" s="214">
        <v>74176563</v>
      </c>
    </row>
    <row r="52" spans="1:9" ht="20.100000000000001" customHeight="1" x14ac:dyDescent="0.25">
      <c r="A52" s="19" t="s">
        <v>7</v>
      </c>
      <c r="B52" s="42" t="s">
        <v>205</v>
      </c>
      <c r="C52" s="110"/>
      <c r="D52" s="110"/>
      <c r="E52" s="110"/>
      <c r="F52" s="110"/>
      <c r="G52" s="110"/>
      <c r="H52" s="110"/>
    </row>
    <row r="53" spans="1:9" ht="20.100000000000001" customHeight="1" x14ac:dyDescent="0.2">
      <c r="A53" s="19"/>
      <c r="B53" s="121" t="s">
        <v>681</v>
      </c>
      <c r="C53" s="215">
        <v>5000000</v>
      </c>
      <c r="D53" s="215"/>
      <c r="E53" s="215">
        <v>2200000</v>
      </c>
      <c r="F53" s="215">
        <v>2200000</v>
      </c>
      <c r="G53" s="215">
        <v>2200000</v>
      </c>
      <c r="H53" s="215">
        <v>2200000</v>
      </c>
    </row>
    <row r="54" spans="1:9" ht="20.100000000000001" customHeight="1" x14ac:dyDescent="0.25">
      <c r="A54" s="19"/>
      <c r="B54" s="173" t="s">
        <v>256</v>
      </c>
      <c r="C54" s="214">
        <f t="shared" ref="C54:E54" si="9">SUM(C53:C53)</f>
        <v>5000000</v>
      </c>
      <c r="D54" s="214">
        <f t="shared" si="9"/>
        <v>0</v>
      </c>
      <c r="E54" s="214">
        <f t="shared" si="9"/>
        <v>2200000</v>
      </c>
      <c r="F54" s="214">
        <f t="shared" ref="F54:H54" si="10">SUM(F53:F53)</f>
        <v>2200000</v>
      </c>
      <c r="G54" s="214">
        <f t="shared" si="10"/>
        <v>2200000</v>
      </c>
      <c r="H54" s="214">
        <f t="shared" si="10"/>
        <v>2200000</v>
      </c>
    </row>
    <row r="55" spans="1:9" ht="20.100000000000001" customHeight="1" x14ac:dyDescent="0.25">
      <c r="A55" s="19" t="s">
        <v>206</v>
      </c>
      <c r="B55" s="42" t="s">
        <v>207</v>
      </c>
      <c r="C55" s="110"/>
      <c r="D55" s="110"/>
      <c r="E55" s="110"/>
      <c r="F55" s="110"/>
      <c r="G55" s="110"/>
      <c r="H55" s="110"/>
    </row>
    <row r="56" spans="1:9" ht="20.100000000000001" customHeight="1" x14ac:dyDescent="0.2">
      <c r="A56" s="13"/>
      <c r="B56" s="92" t="s">
        <v>682</v>
      </c>
      <c r="C56" s="215">
        <v>570000</v>
      </c>
      <c r="D56" s="215">
        <v>370000</v>
      </c>
      <c r="E56" s="215">
        <v>370000</v>
      </c>
      <c r="F56" s="215">
        <v>370000</v>
      </c>
      <c r="G56" s="215">
        <v>1272116</v>
      </c>
      <c r="H56" s="215">
        <v>1272116</v>
      </c>
      <c r="I56" s="489"/>
    </row>
    <row r="57" spans="1:9" ht="20.100000000000001" customHeight="1" x14ac:dyDescent="0.25">
      <c r="A57" s="19"/>
      <c r="B57" s="151" t="s">
        <v>208</v>
      </c>
      <c r="C57" s="214">
        <f t="shared" ref="C57:E57" si="11">SUM(C56:C56)</f>
        <v>570000</v>
      </c>
      <c r="D57" s="214">
        <f t="shared" si="11"/>
        <v>370000</v>
      </c>
      <c r="E57" s="214">
        <f t="shared" si="11"/>
        <v>370000</v>
      </c>
      <c r="F57" s="214">
        <f t="shared" ref="F57:H57" si="12">SUM(F56:F56)</f>
        <v>370000</v>
      </c>
      <c r="G57" s="214">
        <f t="shared" si="12"/>
        <v>1272116</v>
      </c>
      <c r="H57" s="214">
        <f t="shared" si="12"/>
        <v>1272116</v>
      </c>
    </row>
    <row r="58" spans="1:9" ht="20.100000000000001" customHeight="1" x14ac:dyDescent="0.25">
      <c r="A58" s="81" t="s">
        <v>17</v>
      </c>
      <c r="B58" s="95" t="s">
        <v>209</v>
      </c>
      <c r="C58" s="215"/>
      <c r="D58" s="215"/>
      <c r="E58" s="215"/>
      <c r="F58" s="215"/>
      <c r="G58" s="215"/>
      <c r="H58" s="215"/>
    </row>
    <row r="59" spans="1:9" ht="20.100000000000001" customHeight="1" x14ac:dyDescent="0.2">
      <c r="A59" s="13"/>
      <c r="B59" s="91" t="s">
        <v>683</v>
      </c>
      <c r="C59" s="215">
        <v>880000</v>
      </c>
      <c r="D59" s="215">
        <v>705000</v>
      </c>
      <c r="E59" s="215">
        <v>705000</v>
      </c>
      <c r="F59" s="215">
        <v>705000</v>
      </c>
      <c r="G59" s="215">
        <v>1155145</v>
      </c>
      <c r="H59" s="215">
        <v>1155145</v>
      </c>
      <c r="I59" s="489"/>
    </row>
    <row r="60" spans="1:9" ht="20.100000000000001" customHeight="1" x14ac:dyDescent="0.2">
      <c r="A60" s="13"/>
      <c r="B60" s="91" t="s">
        <v>843</v>
      </c>
      <c r="C60" s="215">
        <v>509844</v>
      </c>
      <c r="D60" s="215">
        <v>408000</v>
      </c>
      <c r="E60" s="215">
        <v>408000</v>
      </c>
      <c r="F60" s="215">
        <v>408000</v>
      </c>
      <c r="G60" s="215">
        <v>9995067</v>
      </c>
      <c r="H60" s="215">
        <v>9995067</v>
      </c>
      <c r="I60" s="489"/>
    </row>
    <row r="61" spans="1:9" ht="20.100000000000001" customHeight="1" x14ac:dyDescent="0.25">
      <c r="A61" s="15"/>
      <c r="B61" s="174" t="s">
        <v>210</v>
      </c>
      <c r="C61" s="214">
        <f t="shared" ref="C61:E61" si="13">SUM(C59:C60)</f>
        <v>1389844</v>
      </c>
      <c r="D61" s="214">
        <f t="shared" si="13"/>
        <v>1113000</v>
      </c>
      <c r="E61" s="214">
        <f t="shared" si="13"/>
        <v>1113000</v>
      </c>
      <c r="F61" s="214">
        <f t="shared" ref="F61:H61" si="14">SUM(F59:F60)</f>
        <v>1113000</v>
      </c>
      <c r="G61" s="214">
        <f t="shared" si="14"/>
        <v>11150212</v>
      </c>
      <c r="H61" s="214">
        <f t="shared" si="14"/>
        <v>11150212</v>
      </c>
    </row>
    <row r="62" spans="1:9" ht="20.100000000000001" customHeight="1" x14ac:dyDescent="0.25">
      <c r="A62" s="17"/>
      <c r="B62" s="172" t="s">
        <v>137</v>
      </c>
      <c r="C62" s="212">
        <f t="shared" ref="C62:E62" si="15">C30+C42+C50+C51+C54+C57+C61</f>
        <v>841520366</v>
      </c>
      <c r="D62" s="212">
        <f t="shared" si="15"/>
        <v>1556984095</v>
      </c>
      <c r="E62" s="212">
        <f t="shared" si="15"/>
        <v>1576150139</v>
      </c>
      <c r="F62" s="212">
        <f t="shared" ref="F62:H62" si="16">F30+F42+F50+F51+F54+F57+F61</f>
        <v>1593466927</v>
      </c>
      <c r="G62" s="212">
        <f t="shared" si="16"/>
        <v>1933824315</v>
      </c>
      <c r="H62" s="212">
        <f t="shared" si="16"/>
        <v>1800934199</v>
      </c>
    </row>
    <row r="63" spans="1:9" ht="20.100000000000001" customHeight="1" x14ac:dyDescent="0.25">
      <c r="A63" s="17" t="s">
        <v>99</v>
      </c>
      <c r="B63" s="151" t="s">
        <v>211</v>
      </c>
      <c r="C63" s="214"/>
      <c r="D63" s="214"/>
      <c r="E63" s="214"/>
      <c r="F63" s="214"/>
      <c r="G63" s="214"/>
      <c r="H63" s="214"/>
    </row>
    <row r="64" spans="1:9" ht="20.100000000000001" customHeight="1" x14ac:dyDescent="0.25">
      <c r="A64" s="17"/>
      <c r="B64" s="151" t="s">
        <v>301</v>
      </c>
      <c r="C64" s="214">
        <v>51522907</v>
      </c>
      <c r="D64" s="214">
        <v>55813230</v>
      </c>
      <c r="E64" s="214">
        <v>54149937</v>
      </c>
      <c r="F64" s="214">
        <v>54149937</v>
      </c>
      <c r="G64" s="214">
        <v>54149937</v>
      </c>
      <c r="H64" s="214">
        <v>54149937</v>
      </c>
    </row>
    <row r="65" spans="1:8" ht="20.100000000000001" customHeight="1" x14ac:dyDescent="0.25">
      <c r="A65" s="17"/>
      <c r="B65" s="151" t="s">
        <v>337</v>
      </c>
      <c r="C65" s="214"/>
      <c r="D65" s="214"/>
      <c r="E65" s="214"/>
      <c r="F65" s="214">
        <v>55508</v>
      </c>
      <c r="G65" s="214">
        <v>16407220</v>
      </c>
      <c r="H65" s="214">
        <v>16407220</v>
      </c>
    </row>
    <row r="66" spans="1:8" ht="20.100000000000001" customHeight="1" x14ac:dyDescent="0.25">
      <c r="A66" s="17"/>
      <c r="B66" s="151" t="s">
        <v>538</v>
      </c>
      <c r="C66" s="214">
        <v>180000000</v>
      </c>
      <c r="D66" s="214">
        <v>340000000</v>
      </c>
      <c r="E66" s="214">
        <v>340000000</v>
      </c>
      <c r="F66" s="214">
        <v>340000000</v>
      </c>
      <c r="G66" s="214">
        <v>340000000</v>
      </c>
      <c r="H66" s="214">
        <v>340000000</v>
      </c>
    </row>
    <row r="67" spans="1:8" ht="20.100000000000001" customHeight="1" x14ac:dyDescent="0.25">
      <c r="A67" s="17"/>
      <c r="B67" s="151" t="s">
        <v>315</v>
      </c>
      <c r="C67" s="214"/>
      <c r="D67" s="214"/>
      <c r="E67" s="214"/>
      <c r="F67" s="214"/>
      <c r="G67" s="214"/>
      <c r="H67" s="214"/>
    </row>
    <row r="68" spans="1:8" ht="20.100000000000001" customHeight="1" x14ac:dyDescent="0.25">
      <c r="A68" s="812" t="s">
        <v>62</v>
      </c>
      <c r="B68" s="813"/>
      <c r="C68" s="212">
        <f t="shared" ref="C68:E68" si="17">C62+C63+C64+C65+C66+C67</f>
        <v>1073043273</v>
      </c>
      <c r="D68" s="212">
        <f t="shared" si="17"/>
        <v>1952797325</v>
      </c>
      <c r="E68" s="212">
        <f t="shared" si="17"/>
        <v>1970300076</v>
      </c>
      <c r="F68" s="212">
        <f t="shared" ref="F68:H68" si="18">F62+F63+F64+F65+F66+F67</f>
        <v>1987672372</v>
      </c>
      <c r="G68" s="212">
        <f t="shared" si="18"/>
        <v>2344381472</v>
      </c>
      <c r="H68" s="212">
        <f t="shared" si="18"/>
        <v>2211491356</v>
      </c>
    </row>
    <row r="69" spans="1:8" ht="20.100000000000001" customHeight="1" x14ac:dyDescent="0.25">
      <c r="A69" s="17" t="s">
        <v>68</v>
      </c>
      <c r="B69" s="46" t="s">
        <v>75</v>
      </c>
      <c r="C69" s="45"/>
      <c r="D69" s="45"/>
      <c r="E69" s="45"/>
      <c r="F69" s="45"/>
      <c r="G69" s="45"/>
      <c r="H69" s="45"/>
    </row>
    <row r="70" spans="1:8" ht="20.100000000000001" customHeight="1" x14ac:dyDescent="0.25">
      <c r="A70" s="17" t="s">
        <v>34</v>
      </c>
      <c r="B70" s="42" t="s">
        <v>229</v>
      </c>
      <c r="C70" s="110"/>
      <c r="D70" s="110"/>
      <c r="E70" s="110"/>
      <c r="F70" s="110"/>
      <c r="G70" s="110"/>
      <c r="H70" s="110"/>
    </row>
    <row r="71" spans="1:8" ht="20.100000000000001" customHeight="1" x14ac:dyDescent="0.25">
      <c r="A71" s="17"/>
      <c r="B71" s="91" t="s">
        <v>684</v>
      </c>
      <c r="C71" s="109"/>
      <c r="D71" s="109">
        <v>12255000</v>
      </c>
      <c r="E71" s="109">
        <v>12255000</v>
      </c>
      <c r="F71" s="109">
        <v>12255000</v>
      </c>
      <c r="G71" s="109">
        <f>F71+[2]III.módosítás!$K$51</f>
        <v>15811715</v>
      </c>
      <c r="H71" s="215">
        <v>15811715</v>
      </c>
    </row>
    <row r="72" spans="1:8" ht="20.100000000000001" customHeight="1" x14ac:dyDescent="0.25">
      <c r="A72" s="17"/>
      <c r="B72" s="91" t="s">
        <v>685</v>
      </c>
      <c r="C72" s="109"/>
      <c r="D72" s="109"/>
      <c r="E72" s="109">
        <v>1462088</v>
      </c>
      <c r="F72" s="109">
        <v>1462088</v>
      </c>
      <c r="G72" s="109">
        <f>F72</f>
        <v>1462088</v>
      </c>
      <c r="H72" s="215">
        <v>1462088</v>
      </c>
    </row>
    <row r="73" spans="1:8" ht="20.100000000000001" customHeight="1" x14ac:dyDescent="0.25">
      <c r="A73" s="17"/>
      <c r="B73" s="91" t="s">
        <v>839</v>
      </c>
      <c r="C73" s="109"/>
      <c r="D73" s="109"/>
      <c r="E73" s="109"/>
      <c r="F73" s="109"/>
      <c r="G73" s="109">
        <f>[2]III.módosítás!$K$52</f>
        <v>247366</v>
      </c>
      <c r="H73" s="215">
        <v>247366</v>
      </c>
    </row>
    <row r="74" spans="1:8" ht="20.100000000000001" customHeight="1" x14ac:dyDescent="0.25">
      <c r="A74" s="17"/>
      <c r="B74" s="151" t="s">
        <v>202</v>
      </c>
      <c r="C74" s="214">
        <f t="shared" ref="C74" si="19">SUM(C71:C72)</f>
        <v>0</v>
      </c>
      <c r="D74" s="214">
        <f>SUM(D71:D73)</f>
        <v>12255000</v>
      </c>
      <c r="E74" s="214">
        <f>SUM(E71:E73)</f>
        <v>13717088</v>
      </c>
      <c r="F74" s="214">
        <f>SUM(F71:F73)</f>
        <v>13717088</v>
      </c>
      <c r="G74" s="214">
        <f>SUM(G71:G73)</f>
        <v>17521169</v>
      </c>
      <c r="H74" s="214">
        <f>SUM(H71:H73)</f>
        <v>17521169</v>
      </c>
    </row>
    <row r="75" spans="1:8" ht="20.100000000000001" customHeight="1" x14ac:dyDescent="0.25">
      <c r="A75" s="17" t="s">
        <v>254</v>
      </c>
      <c r="B75" s="151" t="s">
        <v>204</v>
      </c>
      <c r="C75" s="214">
        <v>750000</v>
      </c>
      <c r="D75" s="214">
        <v>2100000</v>
      </c>
      <c r="E75" s="214">
        <v>2100000</v>
      </c>
      <c r="F75" s="214">
        <v>2100000</v>
      </c>
      <c r="G75" s="214">
        <f>F75+[2]III.módosítás!$V$55</f>
        <v>2223173</v>
      </c>
      <c r="H75" s="214">
        <v>2227161</v>
      </c>
    </row>
    <row r="76" spans="1:8" ht="20.100000000000001" customHeight="1" x14ac:dyDescent="0.25">
      <c r="A76" s="17" t="s">
        <v>686</v>
      </c>
      <c r="B76" s="151" t="s">
        <v>205</v>
      </c>
      <c r="C76" s="214"/>
      <c r="D76" s="214"/>
      <c r="E76" s="214"/>
      <c r="F76" s="214"/>
      <c r="G76" s="214">
        <f>[2]III.módosítás!$W$53</f>
        <v>17000</v>
      </c>
      <c r="H76" s="214">
        <v>17000</v>
      </c>
    </row>
    <row r="77" spans="1:8" ht="20.100000000000001" customHeight="1" x14ac:dyDescent="0.25">
      <c r="A77" s="17" t="s">
        <v>692</v>
      </c>
      <c r="B77" s="151" t="s">
        <v>840</v>
      </c>
      <c r="C77" s="214"/>
      <c r="D77" s="214"/>
      <c r="E77" s="214"/>
      <c r="F77" s="214"/>
      <c r="G77" s="214">
        <v>75000</v>
      </c>
      <c r="H77" s="214">
        <v>75000</v>
      </c>
    </row>
    <row r="78" spans="1:8" ht="20.100000000000001" customHeight="1" x14ac:dyDescent="0.25">
      <c r="A78" s="17" t="s">
        <v>841</v>
      </c>
      <c r="B78" s="151" t="s">
        <v>301</v>
      </c>
      <c r="C78" s="214"/>
      <c r="D78" s="214"/>
      <c r="E78" s="214">
        <v>5918207</v>
      </c>
      <c r="F78" s="214">
        <v>5918207</v>
      </c>
      <c r="G78" s="214">
        <v>5918207</v>
      </c>
      <c r="H78" s="214">
        <v>5918207</v>
      </c>
    </row>
    <row r="79" spans="1:8" ht="20.100000000000001" customHeight="1" x14ac:dyDescent="0.25">
      <c r="A79" s="812" t="s">
        <v>97</v>
      </c>
      <c r="B79" s="813"/>
      <c r="C79" s="212">
        <f t="shared" ref="C79:H79" si="20">C74+C75+C76+C77+C78</f>
        <v>750000</v>
      </c>
      <c r="D79" s="212">
        <f t="shared" si="20"/>
        <v>14355000</v>
      </c>
      <c r="E79" s="212">
        <f t="shared" si="20"/>
        <v>21735295</v>
      </c>
      <c r="F79" s="212">
        <f t="shared" si="20"/>
        <v>21735295</v>
      </c>
      <c r="G79" s="212">
        <f t="shared" si="20"/>
        <v>25754549</v>
      </c>
      <c r="H79" s="212">
        <f t="shared" si="20"/>
        <v>25758537</v>
      </c>
    </row>
    <row r="80" spans="1:8" ht="20.100000000000001" customHeight="1" x14ac:dyDescent="0.25">
      <c r="A80" s="17" t="s">
        <v>69</v>
      </c>
      <c r="B80" s="46" t="s">
        <v>317</v>
      </c>
      <c r="C80" s="45"/>
      <c r="D80" s="45"/>
      <c r="E80" s="45"/>
      <c r="F80" s="45"/>
      <c r="G80" s="45"/>
      <c r="H80" s="45"/>
    </row>
    <row r="81" spans="1:8" ht="20.100000000000001" customHeight="1" x14ac:dyDescent="0.25">
      <c r="A81" s="17" t="s">
        <v>34</v>
      </c>
      <c r="B81" s="151" t="s">
        <v>204</v>
      </c>
      <c r="C81" s="214">
        <v>49301727</v>
      </c>
      <c r="D81" s="214">
        <v>48681727</v>
      </c>
      <c r="E81" s="214">
        <v>48681727</v>
      </c>
      <c r="F81" s="214">
        <v>48681727</v>
      </c>
      <c r="G81" s="214">
        <f>F81+[2]III.módosítás!$V$60</f>
        <v>54235021</v>
      </c>
      <c r="H81" s="214">
        <v>54390680</v>
      </c>
    </row>
    <row r="82" spans="1:8" ht="20.100000000000001" customHeight="1" x14ac:dyDescent="0.25">
      <c r="A82" s="17" t="s">
        <v>254</v>
      </c>
      <c r="B82" s="151" t="s">
        <v>848</v>
      </c>
      <c r="C82" s="214"/>
      <c r="D82" s="214"/>
      <c r="E82" s="214"/>
      <c r="F82" s="214"/>
      <c r="G82" s="214">
        <v>100000</v>
      </c>
      <c r="H82" s="214">
        <v>100000</v>
      </c>
    </row>
    <row r="83" spans="1:8" ht="20.100000000000001" customHeight="1" x14ac:dyDescent="0.25">
      <c r="A83" s="17" t="s">
        <v>686</v>
      </c>
      <c r="B83" s="151" t="s">
        <v>301</v>
      </c>
      <c r="C83" s="214"/>
      <c r="D83" s="214"/>
      <c r="E83" s="214">
        <v>2212562</v>
      </c>
      <c r="F83" s="214">
        <v>2212562</v>
      </c>
      <c r="G83" s="214">
        <v>2212562</v>
      </c>
      <c r="H83" s="214">
        <v>2212562</v>
      </c>
    </row>
    <row r="84" spans="1:8" ht="20.100000000000001" customHeight="1" x14ac:dyDescent="0.25">
      <c r="A84" s="812" t="s">
        <v>327</v>
      </c>
      <c r="B84" s="813"/>
      <c r="C84" s="212">
        <f t="shared" ref="C84:H84" si="21">C81+C83+C82</f>
        <v>49301727</v>
      </c>
      <c r="D84" s="212">
        <f t="shared" si="21"/>
        <v>48681727</v>
      </c>
      <c r="E84" s="212">
        <f t="shared" si="21"/>
        <v>50894289</v>
      </c>
      <c r="F84" s="212">
        <f t="shared" si="21"/>
        <v>50894289</v>
      </c>
      <c r="G84" s="212">
        <f t="shared" si="21"/>
        <v>56547583</v>
      </c>
      <c r="H84" s="212">
        <f t="shared" si="21"/>
        <v>56703242</v>
      </c>
    </row>
    <row r="85" spans="1:8" ht="20.100000000000001" customHeight="1" x14ac:dyDescent="0.25">
      <c r="A85" s="17" t="s">
        <v>318</v>
      </c>
      <c r="B85" s="46" t="s">
        <v>319</v>
      </c>
      <c r="C85" s="45"/>
      <c r="D85" s="45"/>
      <c r="E85" s="45"/>
      <c r="F85" s="45"/>
      <c r="G85" s="45"/>
      <c r="H85" s="45"/>
    </row>
    <row r="86" spans="1:8" ht="20.100000000000001" customHeight="1" x14ac:dyDescent="0.25">
      <c r="A86" s="17" t="s">
        <v>34</v>
      </c>
      <c r="B86" s="42" t="s">
        <v>229</v>
      </c>
      <c r="C86" s="110"/>
      <c r="D86" s="110"/>
      <c r="E86" s="110"/>
      <c r="F86" s="110"/>
      <c r="G86" s="110"/>
      <c r="H86" s="110"/>
    </row>
    <row r="87" spans="1:8" ht="20.100000000000001" customHeight="1" x14ac:dyDescent="0.25">
      <c r="A87" s="17"/>
      <c r="B87" s="91" t="s">
        <v>778</v>
      </c>
      <c r="C87" s="110"/>
      <c r="D87" s="110"/>
      <c r="E87" s="215">
        <v>3047000</v>
      </c>
      <c r="F87" s="215">
        <v>3047000</v>
      </c>
      <c r="G87" s="215">
        <v>3047000</v>
      </c>
      <c r="H87" s="215">
        <v>3047000</v>
      </c>
    </row>
    <row r="88" spans="1:8" ht="20.100000000000001" customHeight="1" x14ac:dyDescent="0.25">
      <c r="A88" s="17"/>
      <c r="B88" s="91" t="s">
        <v>847</v>
      </c>
      <c r="C88" s="215"/>
      <c r="D88" s="215"/>
      <c r="E88" s="215">
        <v>1850000</v>
      </c>
      <c r="F88" s="215">
        <v>1850000</v>
      </c>
      <c r="G88" s="215">
        <v>5150000</v>
      </c>
      <c r="H88" s="215">
        <v>5150000</v>
      </c>
    </row>
    <row r="89" spans="1:8" ht="20.100000000000001" customHeight="1" x14ac:dyDescent="0.25">
      <c r="A89" s="17"/>
      <c r="B89" s="91" t="s">
        <v>857</v>
      </c>
      <c r="C89" s="215"/>
      <c r="D89" s="215"/>
      <c r="E89" s="215"/>
      <c r="F89" s="215"/>
      <c r="G89" s="215">
        <v>800000</v>
      </c>
      <c r="H89" s="215">
        <v>800000</v>
      </c>
    </row>
    <row r="90" spans="1:8" ht="20.100000000000001" customHeight="1" x14ac:dyDescent="0.25">
      <c r="A90" s="17"/>
      <c r="B90" s="91" t="s">
        <v>849</v>
      </c>
      <c r="C90" s="215"/>
      <c r="D90" s="215"/>
      <c r="E90" s="215"/>
      <c r="F90" s="215"/>
      <c r="G90" s="215">
        <v>862790</v>
      </c>
      <c r="H90" s="215">
        <v>862790</v>
      </c>
    </row>
    <row r="91" spans="1:8" ht="20.100000000000001" customHeight="1" x14ac:dyDescent="0.25">
      <c r="A91" s="17"/>
      <c r="B91" s="151" t="s">
        <v>690</v>
      </c>
      <c r="C91" s="214">
        <f t="shared" ref="C91:D91" si="22">C88+C87</f>
        <v>0</v>
      </c>
      <c r="D91" s="214">
        <f t="shared" si="22"/>
        <v>0</v>
      </c>
      <c r="E91" s="214">
        <f>E88+E87+E90</f>
        <v>4897000</v>
      </c>
      <c r="F91" s="214">
        <f>F88+F87+F90</f>
        <v>4897000</v>
      </c>
      <c r="G91" s="214">
        <f>G88+G87+G90+G89</f>
        <v>9859790</v>
      </c>
      <c r="H91" s="214">
        <f>H88+H87+H90+H89</f>
        <v>9859790</v>
      </c>
    </row>
    <row r="92" spans="1:8" ht="20.100000000000001" customHeight="1" x14ac:dyDescent="0.25">
      <c r="A92" s="17" t="s">
        <v>687</v>
      </c>
      <c r="B92" s="42" t="s">
        <v>688</v>
      </c>
      <c r="C92" s="110"/>
      <c r="D92" s="110"/>
      <c r="E92" s="110"/>
      <c r="F92" s="110"/>
      <c r="G92" s="110"/>
      <c r="H92" s="110"/>
    </row>
    <row r="93" spans="1:8" ht="20.100000000000001" customHeight="1" x14ac:dyDescent="0.25">
      <c r="A93" s="17"/>
      <c r="B93" s="91" t="s">
        <v>689</v>
      </c>
      <c r="C93" s="215">
        <f t="shared" ref="C93:C94" si="23">SUM(C91:C92)</f>
        <v>0</v>
      </c>
      <c r="D93" s="215">
        <v>19963948</v>
      </c>
      <c r="E93" s="215">
        <v>19963948</v>
      </c>
      <c r="F93" s="215">
        <v>19963948</v>
      </c>
      <c r="G93" s="215">
        <v>19963948</v>
      </c>
      <c r="H93" s="215">
        <v>19963948</v>
      </c>
    </row>
    <row r="94" spans="1:8" ht="20.100000000000001" customHeight="1" x14ac:dyDescent="0.25">
      <c r="A94" s="17"/>
      <c r="B94" s="91" t="s">
        <v>850</v>
      </c>
      <c r="C94" s="215">
        <f t="shared" si="23"/>
        <v>0</v>
      </c>
      <c r="D94" s="215"/>
      <c r="E94" s="215">
        <v>750000</v>
      </c>
      <c r="F94" s="215">
        <v>750000</v>
      </c>
      <c r="G94" s="215">
        <v>750000</v>
      </c>
      <c r="H94" s="215">
        <v>750000</v>
      </c>
    </row>
    <row r="95" spans="1:8" ht="20.100000000000001" customHeight="1" x14ac:dyDescent="0.25">
      <c r="A95" s="17"/>
      <c r="B95" s="91" t="s">
        <v>799</v>
      </c>
      <c r="C95" s="215"/>
      <c r="D95" s="215"/>
      <c r="E95" s="215"/>
      <c r="F95" s="215">
        <v>5231976</v>
      </c>
      <c r="G95" s="215">
        <v>5231976</v>
      </c>
      <c r="H95" s="215"/>
    </row>
    <row r="96" spans="1:8" ht="20.100000000000001" customHeight="1" x14ac:dyDescent="0.25">
      <c r="A96" s="17"/>
      <c r="B96" s="151" t="s">
        <v>691</v>
      </c>
      <c r="C96" s="214">
        <f>SUM(C93:C94)</f>
        <v>0</v>
      </c>
      <c r="D96" s="214">
        <f t="shared" ref="D96:H96" si="24">SUM(D93:D95)</f>
        <v>19963948</v>
      </c>
      <c r="E96" s="214">
        <f t="shared" si="24"/>
        <v>20713948</v>
      </c>
      <c r="F96" s="214">
        <f t="shared" si="24"/>
        <v>25945924</v>
      </c>
      <c r="G96" s="214">
        <f t="shared" si="24"/>
        <v>25945924</v>
      </c>
      <c r="H96" s="214">
        <f t="shared" si="24"/>
        <v>20713948</v>
      </c>
    </row>
    <row r="97" spans="1:8" ht="20.100000000000001" customHeight="1" x14ac:dyDescent="0.25">
      <c r="A97" s="17" t="s">
        <v>686</v>
      </c>
      <c r="B97" s="151" t="s">
        <v>204</v>
      </c>
      <c r="C97" s="214">
        <v>5300000</v>
      </c>
      <c r="D97" s="214">
        <v>7300000</v>
      </c>
      <c r="E97" s="214">
        <v>7300000</v>
      </c>
      <c r="F97" s="214">
        <v>7300000</v>
      </c>
      <c r="G97" s="214">
        <f>F97+[2]III.módosítás!$V$58</f>
        <v>10256782</v>
      </c>
      <c r="H97" s="214">
        <v>10114875</v>
      </c>
    </row>
    <row r="98" spans="1:8" ht="20.100000000000001" customHeight="1" x14ac:dyDescent="0.25">
      <c r="A98" s="17" t="s">
        <v>692</v>
      </c>
      <c r="B98" s="151" t="s">
        <v>301</v>
      </c>
      <c r="C98" s="214"/>
      <c r="D98" s="214"/>
      <c r="E98" s="214">
        <v>2496860</v>
      </c>
      <c r="F98" s="214">
        <v>2496860</v>
      </c>
      <c r="G98" s="214">
        <v>2496860</v>
      </c>
      <c r="H98" s="214">
        <v>2496860</v>
      </c>
    </row>
    <row r="99" spans="1:8" ht="20.100000000000001" customHeight="1" x14ac:dyDescent="0.25">
      <c r="A99" s="812" t="s">
        <v>328</v>
      </c>
      <c r="B99" s="813"/>
      <c r="C99" s="212">
        <f t="shared" ref="C99:E99" si="25">C91+C96+C97+C98</f>
        <v>5300000</v>
      </c>
      <c r="D99" s="212">
        <f t="shared" si="25"/>
        <v>27263948</v>
      </c>
      <c r="E99" s="212">
        <f t="shared" si="25"/>
        <v>35407808</v>
      </c>
      <c r="F99" s="212">
        <f t="shared" ref="F99:H99" si="26">F91+F96+F97+F98</f>
        <v>40639784</v>
      </c>
      <c r="G99" s="212">
        <f t="shared" si="26"/>
        <v>48559356</v>
      </c>
      <c r="H99" s="212">
        <f t="shared" si="26"/>
        <v>43185473</v>
      </c>
    </row>
    <row r="100" spans="1:8" ht="20.100000000000001" customHeight="1" x14ac:dyDescent="0.25">
      <c r="A100" s="238"/>
      <c r="B100" s="237" t="s">
        <v>63</v>
      </c>
      <c r="C100" s="159">
        <f t="shared" ref="C100:E100" si="27">C68+C79+C84+C99</f>
        <v>1128395000</v>
      </c>
      <c r="D100" s="159">
        <f t="shared" si="27"/>
        <v>2043098000</v>
      </c>
      <c r="E100" s="159">
        <f t="shared" si="27"/>
        <v>2078337468</v>
      </c>
      <c r="F100" s="159">
        <f t="shared" ref="F100:H100" si="28">F68+F79+F84+F99</f>
        <v>2100941740</v>
      </c>
      <c r="G100" s="159">
        <f t="shared" si="28"/>
        <v>2475242960</v>
      </c>
      <c r="H100" s="159">
        <f t="shared" si="28"/>
        <v>2337138608</v>
      </c>
    </row>
    <row r="101" spans="1:8" ht="14.25" x14ac:dyDescent="0.2">
      <c r="A101" s="16"/>
      <c r="B101" s="16"/>
    </row>
    <row r="102" spans="1:8" ht="14.25" x14ac:dyDescent="0.2">
      <c r="A102" s="16"/>
      <c r="B102" s="16"/>
    </row>
    <row r="103" spans="1:8" ht="14.25" x14ac:dyDescent="0.2">
      <c r="A103" s="16"/>
      <c r="B103" s="16"/>
    </row>
    <row r="104" spans="1:8" ht="14.25" x14ac:dyDescent="0.2">
      <c r="A104" s="16"/>
      <c r="B104" s="16"/>
    </row>
    <row r="105" spans="1:8" ht="14.25" x14ac:dyDescent="0.2">
      <c r="A105" s="16"/>
      <c r="B105" s="16"/>
    </row>
    <row r="106" spans="1:8" ht="18" customHeight="1" x14ac:dyDescent="0.2">
      <c r="A106" s="16"/>
      <c r="B106" s="16"/>
    </row>
    <row r="107" spans="1:8" ht="14.25" x14ac:dyDescent="0.2">
      <c r="A107" s="16"/>
      <c r="B107" s="16"/>
    </row>
    <row r="108" spans="1:8" ht="14.25" x14ac:dyDescent="0.2">
      <c r="A108" s="16"/>
      <c r="B108" s="16"/>
    </row>
    <row r="109" spans="1:8" ht="13.5" customHeight="1" x14ac:dyDescent="0.2">
      <c r="A109" s="16"/>
      <c r="B109" s="16"/>
    </row>
    <row r="110" spans="1:8" ht="14.25" x14ac:dyDescent="0.2">
      <c r="A110" s="16"/>
      <c r="B110" s="16"/>
    </row>
    <row r="111" spans="1:8" ht="14.25" x14ac:dyDescent="0.2">
      <c r="A111" s="16"/>
      <c r="B111" s="16"/>
      <c r="D111" s="12" t="s">
        <v>502</v>
      </c>
    </row>
    <row r="112" spans="1:8" ht="14.25" x14ac:dyDescent="0.2">
      <c r="A112" s="16"/>
      <c r="B112" s="16"/>
    </row>
    <row r="113" spans="1:2" ht="14.25" x14ac:dyDescent="0.2">
      <c r="A113" s="16"/>
      <c r="B113" s="16"/>
    </row>
    <row r="114" spans="1:2" ht="14.25" x14ac:dyDescent="0.2">
      <c r="A114" s="16"/>
      <c r="B114" s="16"/>
    </row>
    <row r="115" spans="1:2" ht="14.25" x14ac:dyDescent="0.2">
      <c r="A115" s="16"/>
      <c r="B115" s="16"/>
    </row>
    <row r="116" spans="1:2" ht="14.25" x14ac:dyDescent="0.2">
      <c r="A116" s="16"/>
      <c r="B116" s="16"/>
    </row>
    <row r="117" spans="1:2" ht="14.25" x14ac:dyDescent="0.2">
      <c r="A117" s="16"/>
      <c r="B117" s="16"/>
    </row>
    <row r="118" spans="1:2" ht="14.25" x14ac:dyDescent="0.2">
      <c r="A118" s="16"/>
      <c r="B118" s="16"/>
    </row>
    <row r="119" spans="1:2" ht="14.25" x14ac:dyDescent="0.2">
      <c r="A119" s="16"/>
      <c r="B119" s="16"/>
    </row>
    <row r="120" spans="1:2" ht="14.25" x14ac:dyDescent="0.2">
      <c r="A120" s="16"/>
      <c r="B120" s="16"/>
    </row>
    <row r="121" spans="1:2" ht="18" customHeight="1" x14ac:dyDescent="0.2">
      <c r="A121" s="16"/>
      <c r="B121" s="16"/>
    </row>
    <row r="122" spans="1:2" ht="12.75" customHeight="1" x14ac:dyDescent="0.2">
      <c r="A122" s="16"/>
      <c r="B122" s="16"/>
    </row>
    <row r="123" spans="1:2" ht="14.25" x14ac:dyDescent="0.2">
      <c r="A123" s="16"/>
      <c r="B123" s="16"/>
    </row>
    <row r="124" spans="1:2" ht="14.25" x14ac:dyDescent="0.2">
      <c r="A124" s="16"/>
      <c r="B124" s="16"/>
    </row>
    <row r="125" spans="1:2" ht="15" customHeight="1" x14ac:dyDescent="0.2">
      <c r="A125" s="16"/>
      <c r="B125" s="16"/>
    </row>
    <row r="126" spans="1:2" ht="14.25" x14ac:dyDescent="0.2">
      <c r="A126" s="16"/>
      <c r="B126" s="16"/>
    </row>
    <row r="127" spans="1:2" ht="14.25" x14ac:dyDescent="0.2">
      <c r="A127" s="16"/>
      <c r="B127" s="16"/>
    </row>
    <row r="128" spans="1:2" ht="14.25" x14ac:dyDescent="0.2">
      <c r="A128" s="16"/>
      <c r="B128" s="16"/>
    </row>
    <row r="129" spans="1:2" ht="14.25" x14ac:dyDescent="0.2">
      <c r="A129" s="16"/>
      <c r="B129" s="16"/>
    </row>
    <row r="130" spans="1:2" ht="14.25" x14ac:dyDescent="0.2">
      <c r="A130" s="16"/>
      <c r="B130" s="16"/>
    </row>
    <row r="131" spans="1:2" ht="14.25" x14ac:dyDescent="0.2">
      <c r="A131" s="16"/>
      <c r="B131" s="16"/>
    </row>
    <row r="132" spans="1:2" ht="14.25" x14ac:dyDescent="0.2">
      <c r="A132" s="16"/>
      <c r="B132" s="16"/>
    </row>
    <row r="133" spans="1:2" ht="14.25" x14ac:dyDescent="0.2">
      <c r="A133" s="16"/>
      <c r="B133" s="16"/>
    </row>
    <row r="134" spans="1:2" ht="14.25" x14ac:dyDescent="0.2">
      <c r="A134" s="16"/>
      <c r="B134" s="16"/>
    </row>
    <row r="135" spans="1:2" ht="14.25" x14ac:dyDescent="0.2">
      <c r="A135" s="16"/>
      <c r="B135" s="16"/>
    </row>
    <row r="136" spans="1:2" ht="14.25" x14ac:dyDescent="0.2">
      <c r="A136" s="16"/>
      <c r="B136" s="16"/>
    </row>
    <row r="137" spans="1:2" ht="14.25" x14ac:dyDescent="0.2">
      <c r="A137" s="16"/>
      <c r="B137" s="16"/>
    </row>
    <row r="138" spans="1:2" ht="14.25" x14ac:dyDescent="0.2">
      <c r="A138" s="16"/>
      <c r="B138" s="16"/>
    </row>
    <row r="139" spans="1:2" ht="14.25" x14ac:dyDescent="0.2">
      <c r="A139" s="16"/>
      <c r="B139" s="16"/>
    </row>
    <row r="140" spans="1:2" ht="14.25" x14ac:dyDescent="0.2">
      <c r="A140" s="16"/>
      <c r="B140" s="16"/>
    </row>
    <row r="141" spans="1:2" ht="14.25" x14ac:dyDescent="0.2">
      <c r="A141" s="16"/>
      <c r="B141" s="16"/>
    </row>
    <row r="142" spans="1:2" ht="14.25" x14ac:dyDescent="0.2">
      <c r="A142" s="16"/>
      <c r="B142" s="16"/>
    </row>
    <row r="143" spans="1:2" ht="14.25" x14ac:dyDescent="0.2">
      <c r="A143" s="16"/>
      <c r="B143" s="16"/>
    </row>
    <row r="144" spans="1:2" ht="14.25" x14ac:dyDescent="0.2">
      <c r="A144" s="16"/>
      <c r="B144" s="16"/>
    </row>
    <row r="145" spans="1:2" ht="14.25" x14ac:dyDescent="0.2">
      <c r="A145" s="16"/>
      <c r="B145" s="16"/>
    </row>
    <row r="146" spans="1:2" ht="14.25" x14ac:dyDescent="0.2">
      <c r="A146" s="16"/>
      <c r="B146" s="16"/>
    </row>
    <row r="147" spans="1:2" ht="14.25" x14ac:dyDescent="0.2">
      <c r="A147" s="16"/>
      <c r="B147" s="16"/>
    </row>
    <row r="148" spans="1:2" ht="14.25" x14ac:dyDescent="0.2">
      <c r="A148" s="16"/>
      <c r="B148" s="16"/>
    </row>
    <row r="149" spans="1:2" ht="14.25" x14ac:dyDescent="0.2">
      <c r="A149" s="16"/>
      <c r="B149" s="16"/>
    </row>
    <row r="150" spans="1:2" ht="14.25" x14ac:dyDescent="0.2">
      <c r="A150" s="16"/>
      <c r="B150" s="16"/>
    </row>
    <row r="151" spans="1:2" ht="14.25" x14ac:dyDescent="0.2">
      <c r="A151" s="16"/>
      <c r="B151" s="16"/>
    </row>
    <row r="152" spans="1:2" ht="14.25" x14ac:dyDescent="0.2">
      <c r="A152" s="16"/>
      <c r="B152" s="16"/>
    </row>
    <row r="153" spans="1:2" ht="14.25" x14ac:dyDescent="0.2">
      <c r="A153" s="16"/>
      <c r="B153" s="16"/>
    </row>
    <row r="154" spans="1:2" ht="14.25" x14ac:dyDescent="0.2">
      <c r="A154" s="16"/>
      <c r="B154" s="16"/>
    </row>
    <row r="155" spans="1:2" ht="14.25" x14ac:dyDescent="0.2">
      <c r="A155" s="16"/>
      <c r="B155" s="16"/>
    </row>
    <row r="156" spans="1:2" ht="14.25" x14ac:dyDescent="0.2">
      <c r="A156" s="16"/>
      <c r="B156" s="16"/>
    </row>
    <row r="157" spans="1:2" ht="14.25" x14ac:dyDescent="0.2">
      <c r="A157" s="16"/>
      <c r="B157" s="16"/>
    </row>
    <row r="158" spans="1:2" ht="14.25" x14ac:dyDescent="0.2">
      <c r="A158" s="16"/>
      <c r="B158" s="16"/>
    </row>
    <row r="159" spans="1:2" ht="14.25" x14ac:dyDescent="0.2">
      <c r="A159" s="16"/>
      <c r="B159" s="16"/>
    </row>
    <row r="160" spans="1:2" ht="14.25" x14ac:dyDescent="0.2">
      <c r="A160" s="16"/>
      <c r="B160" s="16"/>
    </row>
    <row r="161" spans="1:2" ht="14.25" x14ac:dyDescent="0.2">
      <c r="A161" s="16"/>
      <c r="B161" s="16"/>
    </row>
    <row r="162" spans="1:2" ht="14.25" x14ac:dyDescent="0.2">
      <c r="A162" s="16"/>
      <c r="B162" s="16"/>
    </row>
    <row r="163" spans="1:2" ht="14.25" x14ac:dyDescent="0.2">
      <c r="A163" s="16"/>
      <c r="B163" s="16"/>
    </row>
    <row r="164" spans="1:2" ht="14.25" x14ac:dyDescent="0.2">
      <c r="A164" s="16"/>
      <c r="B164" s="16"/>
    </row>
    <row r="165" spans="1:2" ht="14.25" x14ac:dyDescent="0.2">
      <c r="A165" s="16"/>
      <c r="B165" s="16"/>
    </row>
    <row r="166" spans="1:2" ht="14.25" x14ac:dyDescent="0.2">
      <c r="A166" s="16"/>
      <c r="B166" s="16"/>
    </row>
    <row r="167" spans="1:2" ht="14.25" x14ac:dyDescent="0.2">
      <c r="A167" s="16"/>
      <c r="B167" s="16"/>
    </row>
    <row r="168" spans="1:2" ht="14.25" x14ac:dyDescent="0.2">
      <c r="A168" s="16"/>
      <c r="B168" s="16"/>
    </row>
    <row r="169" spans="1:2" ht="14.25" x14ac:dyDescent="0.2">
      <c r="A169" s="16"/>
      <c r="B169" s="16"/>
    </row>
    <row r="170" spans="1:2" ht="14.25" x14ac:dyDescent="0.2">
      <c r="A170" s="16"/>
      <c r="B170" s="16"/>
    </row>
    <row r="171" spans="1:2" ht="14.25" x14ac:dyDescent="0.2">
      <c r="A171" s="16"/>
      <c r="B171" s="16"/>
    </row>
    <row r="172" spans="1:2" ht="14.25" x14ac:dyDescent="0.2">
      <c r="A172" s="16"/>
      <c r="B172" s="16"/>
    </row>
    <row r="173" spans="1:2" ht="14.25" x14ac:dyDescent="0.2">
      <c r="A173" s="16"/>
      <c r="B173" s="16"/>
    </row>
    <row r="174" spans="1:2" ht="14.25" x14ac:dyDescent="0.2">
      <c r="A174" s="16"/>
      <c r="B174" s="16"/>
    </row>
    <row r="175" spans="1:2" ht="14.25" x14ac:dyDescent="0.2">
      <c r="A175" s="16"/>
      <c r="B175" s="16"/>
    </row>
    <row r="176" spans="1:2" ht="14.25" x14ac:dyDescent="0.2">
      <c r="A176" s="16"/>
      <c r="B176" s="16"/>
    </row>
    <row r="177" spans="1:2" ht="14.25" x14ac:dyDescent="0.2">
      <c r="A177" s="16"/>
      <c r="B177" s="16"/>
    </row>
    <row r="178" spans="1:2" ht="14.25" x14ac:dyDescent="0.2">
      <c r="A178" s="16"/>
      <c r="B178" s="16"/>
    </row>
    <row r="179" spans="1:2" ht="14.25" x14ac:dyDescent="0.2">
      <c r="A179" s="16"/>
      <c r="B179" s="16"/>
    </row>
    <row r="180" spans="1:2" ht="14.25" x14ac:dyDescent="0.2">
      <c r="A180" s="16"/>
      <c r="B180" s="16"/>
    </row>
    <row r="181" spans="1:2" ht="14.25" x14ac:dyDescent="0.2">
      <c r="A181" s="16"/>
      <c r="B181" s="16"/>
    </row>
    <row r="182" spans="1:2" ht="14.25" x14ac:dyDescent="0.2">
      <c r="A182" s="16"/>
      <c r="B182" s="16"/>
    </row>
    <row r="183" spans="1:2" ht="14.25" x14ac:dyDescent="0.2">
      <c r="A183" s="16"/>
      <c r="B183" s="16"/>
    </row>
    <row r="184" spans="1:2" ht="14.25" x14ac:dyDescent="0.2">
      <c r="A184" s="16"/>
      <c r="B184" s="16"/>
    </row>
    <row r="185" spans="1:2" ht="14.25" x14ac:dyDescent="0.2">
      <c r="A185" s="16"/>
      <c r="B185" s="16"/>
    </row>
    <row r="186" spans="1:2" ht="14.25" x14ac:dyDescent="0.2">
      <c r="A186" s="16"/>
      <c r="B186" s="16"/>
    </row>
    <row r="187" spans="1:2" ht="14.25" x14ac:dyDescent="0.2">
      <c r="A187" s="16"/>
      <c r="B187" s="16"/>
    </row>
    <row r="188" spans="1:2" ht="14.25" x14ac:dyDescent="0.2">
      <c r="A188" s="16"/>
      <c r="B188" s="16"/>
    </row>
    <row r="189" spans="1:2" ht="14.25" x14ac:dyDescent="0.2">
      <c r="A189" s="16"/>
      <c r="B189" s="16"/>
    </row>
    <row r="190" spans="1:2" ht="14.25" x14ac:dyDescent="0.2">
      <c r="A190" s="16"/>
      <c r="B190" s="16"/>
    </row>
    <row r="191" spans="1:2" ht="14.25" x14ac:dyDescent="0.2">
      <c r="A191" s="16"/>
      <c r="B191" s="16"/>
    </row>
    <row r="192" spans="1:2" ht="14.25" x14ac:dyDescent="0.2">
      <c r="A192" s="16"/>
      <c r="B192" s="16"/>
    </row>
    <row r="193" spans="1:2" ht="14.25" x14ac:dyDescent="0.2">
      <c r="A193" s="16"/>
      <c r="B193" s="16"/>
    </row>
    <row r="194" spans="1:2" ht="14.25" x14ac:dyDescent="0.2">
      <c r="A194" s="16"/>
      <c r="B194" s="16"/>
    </row>
    <row r="195" spans="1:2" ht="14.25" x14ac:dyDescent="0.2">
      <c r="A195" s="16"/>
      <c r="B195" s="16"/>
    </row>
    <row r="196" spans="1:2" ht="14.25" x14ac:dyDescent="0.2">
      <c r="A196" s="16"/>
      <c r="B196" s="16"/>
    </row>
    <row r="197" spans="1:2" ht="14.25" x14ac:dyDescent="0.2">
      <c r="A197" s="16"/>
      <c r="B197" s="16"/>
    </row>
    <row r="198" spans="1:2" ht="14.25" x14ac:dyDescent="0.2">
      <c r="A198" s="16"/>
      <c r="B198" s="16"/>
    </row>
    <row r="199" spans="1:2" ht="14.25" x14ac:dyDescent="0.2">
      <c r="A199" s="16"/>
      <c r="B199" s="16"/>
    </row>
    <row r="200" spans="1:2" ht="14.25" x14ac:dyDescent="0.2">
      <c r="A200" s="16"/>
      <c r="B200" s="16"/>
    </row>
    <row r="201" spans="1:2" ht="14.25" x14ac:dyDescent="0.2">
      <c r="A201" s="16"/>
      <c r="B201" s="16"/>
    </row>
    <row r="202" spans="1:2" ht="14.25" x14ac:dyDescent="0.2">
      <c r="A202" s="16"/>
      <c r="B202" s="16"/>
    </row>
    <row r="203" spans="1:2" ht="14.25" x14ac:dyDescent="0.2">
      <c r="A203" s="16"/>
      <c r="B203" s="16"/>
    </row>
    <row r="204" spans="1:2" ht="14.25" x14ac:dyDescent="0.2">
      <c r="A204" s="16"/>
      <c r="B204" s="16"/>
    </row>
    <row r="205" spans="1:2" ht="14.25" x14ac:dyDescent="0.2">
      <c r="A205" s="16"/>
      <c r="B205" s="16"/>
    </row>
    <row r="206" spans="1:2" ht="14.25" x14ac:dyDescent="0.2">
      <c r="A206" s="16"/>
      <c r="B206" s="16"/>
    </row>
    <row r="207" spans="1:2" ht="14.25" x14ac:dyDescent="0.2">
      <c r="A207" s="16"/>
      <c r="B207" s="16"/>
    </row>
    <row r="208" spans="1:2" ht="14.25" x14ac:dyDescent="0.2">
      <c r="A208" s="16"/>
      <c r="B208" s="16"/>
    </row>
    <row r="209" spans="1:2" ht="14.25" x14ac:dyDescent="0.2">
      <c r="A209" s="16"/>
      <c r="B209" s="16"/>
    </row>
    <row r="210" spans="1:2" ht="14.25" x14ac:dyDescent="0.2">
      <c r="A210" s="16"/>
      <c r="B210" s="16"/>
    </row>
    <row r="211" spans="1:2" ht="14.25" x14ac:dyDescent="0.2">
      <c r="A211" s="16"/>
      <c r="B211" s="16"/>
    </row>
    <row r="212" spans="1:2" ht="14.25" x14ac:dyDescent="0.2">
      <c r="A212" s="16"/>
      <c r="B212" s="16"/>
    </row>
    <row r="213" spans="1:2" ht="14.25" x14ac:dyDescent="0.2">
      <c r="A213" s="16"/>
      <c r="B213" s="16"/>
    </row>
    <row r="214" spans="1:2" ht="14.25" x14ac:dyDescent="0.2">
      <c r="A214" s="16"/>
      <c r="B214" s="16"/>
    </row>
    <row r="215" spans="1:2" ht="14.25" x14ac:dyDescent="0.2">
      <c r="A215" s="16"/>
      <c r="B215" s="16"/>
    </row>
    <row r="216" spans="1:2" ht="14.25" x14ac:dyDescent="0.2">
      <c r="A216" s="16"/>
      <c r="B216" s="16"/>
    </row>
    <row r="217" spans="1:2" ht="14.25" x14ac:dyDescent="0.2">
      <c r="A217" s="16"/>
      <c r="B217" s="16"/>
    </row>
    <row r="218" spans="1:2" ht="14.25" x14ac:dyDescent="0.2">
      <c r="A218" s="16"/>
      <c r="B218" s="16"/>
    </row>
    <row r="219" spans="1:2" ht="14.25" x14ac:dyDescent="0.2">
      <c r="A219" s="16"/>
      <c r="B219" s="16"/>
    </row>
    <row r="220" spans="1:2" ht="14.25" x14ac:dyDescent="0.2">
      <c r="A220" s="16"/>
      <c r="B220" s="16"/>
    </row>
    <row r="221" spans="1:2" ht="14.25" x14ac:dyDescent="0.2">
      <c r="A221" s="16"/>
      <c r="B221" s="16"/>
    </row>
    <row r="222" spans="1:2" ht="14.25" x14ac:dyDescent="0.2">
      <c r="A222" s="16"/>
      <c r="B222" s="16"/>
    </row>
    <row r="223" spans="1:2" ht="14.25" x14ac:dyDescent="0.2">
      <c r="A223" s="16"/>
      <c r="B223" s="16"/>
    </row>
    <row r="224" spans="1:2" ht="14.25" x14ac:dyDescent="0.2">
      <c r="A224" s="16"/>
      <c r="B224" s="16"/>
    </row>
    <row r="225" spans="1:2" ht="14.25" x14ac:dyDescent="0.2">
      <c r="A225" s="16"/>
      <c r="B225" s="16"/>
    </row>
    <row r="226" spans="1:2" ht="14.25" x14ac:dyDescent="0.2">
      <c r="A226" s="16"/>
      <c r="B226" s="16"/>
    </row>
    <row r="227" spans="1:2" ht="14.25" x14ac:dyDescent="0.2">
      <c r="A227" s="16"/>
      <c r="B227" s="16"/>
    </row>
    <row r="228" spans="1:2" ht="14.25" x14ac:dyDescent="0.2">
      <c r="A228" s="16"/>
      <c r="B228" s="16"/>
    </row>
    <row r="229" spans="1:2" ht="14.25" x14ac:dyDescent="0.2">
      <c r="A229" s="16"/>
      <c r="B229" s="16"/>
    </row>
    <row r="230" spans="1:2" ht="14.25" x14ac:dyDescent="0.2">
      <c r="A230" s="16"/>
      <c r="B230" s="16"/>
    </row>
    <row r="231" spans="1:2" ht="14.25" x14ac:dyDescent="0.2">
      <c r="A231" s="16"/>
      <c r="B231" s="16"/>
    </row>
    <row r="232" spans="1:2" ht="14.25" x14ac:dyDescent="0.2">
      <c r="A232" s="16"/>
      <c r="B232" s="16"/>
    </row>
    <row r="233" spans="1:2" ht="14.25" x14ac:dyDescent="0.2">
      <c r="A233" s="16"/>
      <c r="B233" s="16"/>
    </row>
    <row r="234" spans="1:2" ht="14.25" x14ac:dyDescent="0.2">
      <c r="A234" s="16"/>
      <c r="B234" s="16"/>
    </row>
    <row r="235" spans="1:2" ht="14.25" x14ac:dyDescent="0.2">
      <c r="A235" s="16"/>
      <c r="B235" s="16"/>
    </row>
    <row r="236" spans="1:2" ht="14.25" x14ac:dyDescent="0.2">
      <c r="A236" s="16"/>
      <c r="B236" s="16"/>
    </row>
    <row r="237" spans="1:2" ht="14.25" x14ac:dyDescent="0.2">
      <c r="A237" s="16"/>
      <c r="B237" s="16"/>
    </row>
    <row r="238" spans="1:2" ht="14.25" x14ac:dyDescent="0.2">
      <c r="A238" s="16"/>
      <c r="B238" s="16"/>
    </row>
    <row r="239" spans="1:2" ht="14.25" x14ac:dyDescent="0.2">
      <c r="A239" s="16"/>
      <c r="B239" s="16"/>
    </row>
    <row r="240" spans="1:2" ht="14.25" x14ac:dyDescent="0.2">
      <c r="A240" s="16"/>
      <c r="B240" s="16"/>
    </row>
    <row r="241" spans="1:2" ht="14.25" x14ac:dyDescent="0.2">
      <c r="A241" s="16"/>
      <c r="B241" s="16"/>
    </row>
    <row r="242" spans="1:2" ht="14.25" x14ac:dyDescent="0.2">
      <c r="A242" s="16"/>
      <c r="B242" s="16"/>
    </row>
    <row r="243" spans="1:2" ht="14.25" x14ac:dyDescent="0.2">
      <c r="A243" s="16"/>
      <c r="B243" s="16"/>
    </row>
    <row r="244" spans="1:2" ht="14.25" x14ac:dyDescent="0.2">
      <c r="A244" s="16"/>
      <c r="B244" s="16"/>
    </row>
    <row r="245" spans="1:2" ht="14.25" x14ac:dyDescent="0.2">
      <c r="A245" s="16"/>
      <c r="B245" s="16"/>
    </row>
    <row r="246" spans="1:2" ht="14.25" x14ac:dyDescent="0.2">
      <c r="A246" s="16"/>
      <c r="B246" s="16"/>
    </row>
    <row r="247" spans="1:2" ht="14.25" x14ac:dyDescent="0.2">
      <c r="A247" s="16"/>
      <c r="B247" s="16"/>
    </row>
    <row r="248" spans="1:2" ht="14.25" x14ac:dyDescent="0.2">
      <c r="A248" s="16"/>
      <c r="B248" s="16"/>
    </row>
    <row r="249" spans="1:2" ht="14.25" x14ac:dyDescent="0.2">
      <c r="A249" s="16"/>
      <c r="B249" s="16"/>
    </row>
    <row r="250" spans="1:2" ht="14.25" x14ac:dyDescent="0.2">
      <c r="A250" s="16"/>
      <c r="B250" s="16"/>
    </row>
    <row r="251" spans="1:2" ht="14.25" x14ac:dyDescent="0.2">
      <c r="A251" s="16"/>
      <c r="B251" s="16"/>
    </row>
    <row r="252" spans="1:2" ht="14.25" x14ac:dyDescent="0.2">
      <c r="A252" s="16"/>
      <c r="B252" s="16"/>
    </row>
    <row r="253" spans="1:2" ht="14.25" x14ac:dyDescent="0.2">
      <c r="A253" s="16"/>
      <c r="B253" s="16"/>
    </row>
    <row r="254" spans="1:2" ht="14.25" x14ac:dyDescent="0.2">
      <c r="A254" s="16"/>
      <c r="B254" s="16"/>
    </row>
  </sheetData>
  <mergeCells count="8">
    <mergeCell ref="D2:D3"/>
    <mergeCell ref="C2:C3"/>
    <mergeCell ref="A99:B99"/>
    <mergeCell ref="A84:B84"/>
    <mergeCell ref="A79:B79"/>
    <mergeCell ref="A68:B68"/>
    <mergeCell ref="A2:A3"/>
    <mergeCell ref="B2:B3"/>
  </mergeCells>
  <phoneticPr fontId="8" type="noConversion"/>
  <printOptions horizontalCentered="1"/>
  <pageMargins left="0.23622047244094491" right="0.23622047244094491" top="0.86614173228346458" bottom="0.19685039370078741" header="0.19685039370078741" footer="0.19685039370078741"/>
  <pageSetup paperSize="9" scale="65" fitToHeight="0" orientation="portrait" horizontalDpi="4294967294" r:id="rId1"/>
  <headerFooter alignWithMargins="0">
    <oddHeader>&amp;C&amp;"Garamond,Félkövér"&amp;12 11/2019. (V.17.)  számú költségvetési rendelethez
ZALAKAROS VÁROS ÉS KÖLTSÉGVETÉSI SZERVEI  
2018. ÉVI BEVÉTELEI FORRÁSONKÉNT
 &amp;R&amp;A
&amp;P.oldal
forintban</oddHeader>
  </headerFooter>
  <rowBreaks count="1" manualBreakCount="1">
    <brk id="57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B93"/>
  <sheetViews>
    <sheetView topLeftCell="F1" zoomScale="70" zoomScaleNormal="70" workbookViewId="0">
      <selection activeCell="O56" sqref="O56"/>
    </sheetView>
  </sheetViews>
  <sheetFormatPr defaultRowHeight="12.75" x14ac:dyDescent="0.2"/>
  <cols>
    <col min="1" max="1" width="9.140625" style="264"/>
    <col min="2" max="2" width="9.5703125" style="264" customWidth="1"/>
    <col min="3" max="3" width="53.42578125" style="264" bestFit="1" customWidth="1"/>
    <col min="4" max="4" width="18" style="264" customWidth="1"/>
    <col min="5" max="5" width="17.140625" style="264" customWidth="1"/>
    <col min="6" max="6" width="15.7109375" style="264" customWidth="1"/>
    <col min="7" max="7" width="14.28515625" style="264" customWidth="1"/>
    <col min="8" max="8" width="16" style="264" customWidth="1"/>
    <col min="9" max="9" width="16.140625" style="264" customWidth="1"/>
    <col min="10" max="13" width="15.7109375" style="264" customWidth="1"/>
    <col min="14" max="16" width="17.140625" style="264" customWidth="1"/>
    <col min="17" max="19" width="16" style="264" customWidth="1"/>
    <col min="20" max="22" width="15.42578125" style="264" customWidth="1"/>
    <col min="23" max="24" width="12.85546875" style="264" customWidth="1"/>
    <col min="25" max="25" width="11.7109375" style="264" customWidth="1"/>
    <col min="26" max="26" width="11.5703125" style="264" customWidth="1"/>
    <col min="27" max="27" width="11" style="264" customWidth="1"/>
    <col min="28" max="28" width="6.28515625" style="264" customWidth="1"/>
    <col min="29" max="29" width="11.28515625" style="264" customWidth="1"/>
    <col min="30" max="30" width="52.42578125" style="264" customWidth="1"/>
    <col min="31" max="31" width="15.28515625" style="264" customWidth="1"/>
    <col min="32" max="32" width="13.28515625" style="264" customWidth="1"/>
    <col min="33" max="33" width="14.7109375" style="264" customWidth="1"/>
    <col min="34" max="34" width="12.28515625" style="264" customWidth="1"/>
    <col min="35" max="37" width="13.7109375" style="264" customWidth="1"/>
    <col min="38" max="39" width="13.85546875" style="264" customWidth="1"/>
    <col min="40" max="40" width="10" style="264" customWidth="1"/>
    <col min="41" max="41" width="8.7109375" style="264" customWidth="1"/>
    <col min="42" max="42" width="9.7109375" style="264" customWidth="1"/>
    <col min="43" max="43" width="9.42578125" style="264" customWidth="1"/>
    <col min="44" max="44" width="15.5703125" style="264" customWidth="1"/>
    <col min="45" max="45" width="14.140625" style="264" customWidth="1"/>
    <col min="46" max="46" width="16.85546875" style="264" customWidth="1"/>
    <col min="47" max="49" width="17" style="264" customWidth="1"/>
    <col min="50" max="51" width="14.140625" style="264" customWidth="1"/>
    <col min="52" max="52" width="18.85546875" style="264" customWidth="1"/>
    <col min="53" max="53" width="18.7109375" style="264" customWidth="1"/>
    <col min="54" max="54" width="23.28515625" style="264" customWidth="1"/>
    <col min="55" max="288" width="9.140625" style="264"/>
    <col min="289" max="289" width="9.5703125" style="264" customWidth="1"/>
    <col min="290" max="290" width="53.42578125" style="264" bestFit="1" customWidth="1"/>
    <col min="291" max="291" width="17.140625" style="264" customWidth="1"/>
    <col min="292" max="292" width="13.5703125" style="264" customWidth="1"/>
    <col min="293" max="293" width="15.7109375" style="264" customWidth="1"/>
    <col min="294" max="294" width="14.7109375" style="264" customWidth="1"/>
    <col min="295" max="295" width="16" style="264" customWidth="1"/>
    <col min="296" max="296" width="15.42578125" style="264" customWidth="1"/>
    <col min="297" max="297" width="12.85546875" style="264" customWidth="1"/>
    <col min="298" max="298" width="12.7109375" style="264" customWidth="1"/>
    <col min="299" max="299" width="6.28515625" style="264" customWidth="1"/>
    <col min="300" max="300" width="11.28515625" style="264" customWidth="1"/>
    <col min="301" max="301" width="52.42578125" style="264" customWidth="1"/>
    <col min="302" max="302" width="12.28515625" style="264" customWidth="1"/>
    <col min="303" max="303" width="13.7109375" style="264" customWidth="1"/>
    <col min="304" max="304" width="11" style="264" customWidth="1"/>
    <col min="305" max="305" width="12.5703125" style="264" customWidth="1"/>
    <col min="306" max="306" width="12.42578125" style="264" customWidth="1"/>
    <col min="307" max="307" width="17" style="264" customWidth="1"/>
    <col min="308" max="308" width="14.140625" style="264" customWidth="1"/>
    <col min="309" max="309" width="18.7109375" style="264" customWidth="1"/>
    <col min="310" max="544" width="9.140625" style="264"/>
    <col min="545" max="545" width="9.5703125" style="264" customWidth="1"/>
    <col min="546" max="546" width="53.42578125" style="264" bestFit="1" customWidth="1"/>
    <col min="547" max="547" width="17.140625" style="264" customWidth="1"/>
    <col min="548" max="548" width="13.5703125" style="264" customWidth="1"/>
    <col min="549" max="549" width="15.7109375" style="264" customWidth="1"/>
    <col min="550" max="550" width="14.7109375" style="264" customWidth="1"/>
    <col min="551" max="551" width="16" style="264" customWidth="1"/>
    <col min="552" max="552" width="15.42578125" style="264" customWidth="1"/>
    <col min="553" max="553" width="12.85546875" style="264" customWidth="1"/>
    <col min="554" max="554" width="12.7109375" style="264" customWidth="1"/>
    <col min="555" max="555" width="6.28515625" style="264" customWidth="1"/>
    <col min="556" max="556" width="11.28515625" style="264" customWidth="1"/>
    <col min="557" max="557" width="52.42578125" style="264" customWidth="1"/>
    <col min="558" max="558" width="12.28515625" style="264" customWidth="1"/>
    <col min="559" max="559" width="13.7109375" style="264" customWidth="1"/>
    <col min="560" max="560" width="11" style="264" customWidth="1"/>
    <col min="561" max="561" width="12.5703125" style="264" customWidth="1"/>
    <col min="562" max="562" width="12.42578125" style="264" customWidth="1"/>
    <col min="563" max="563" width="17" style="264" customWidth="1"/>
    <col min="564" max="564" width="14.140625" style="264" customWidth="1"/>
    <col min="565" max="565" width="18.7109375" style="264" customWidth="1"/>
    <col min="566" max="800" width="9.140625" style="264"/>
    <col min="801" max="801" width="9.5703125" style="264" customWidth="1"/>
    <col min="802" max="802" width="53.42578125" style="264" bestFit="1" customWidth="1"/>
    <col min="803" max="803" width="17.140625" style="264" customWidth="1"/>
    <col min="804" max="804" width="13.5703125" style="264" customWidth="1"/>
    <col min="805" max="805" width="15.7109375" style="264" customWidth="1"/>
    <col min="806" max="806" width="14.7109375" style="264" customWidth="1"/>
    <col min="807" max="807" width="16" style="264" customWidth="1"/>
    <col min="808" max="808" width="15.42578125" style="264" customWidth="1"/>
    <col min="809" max="809" width="12.85546875" style="264" customWidth="1"/>
    <col min="810" max="810" width="12.7109375" style="264" customWidth="1"/>
    <col min="811" max="811" width="6.28515625" style="264" customWidth="1"/>
    <col min="812" max="812" width="11.28515625" style="264" customWidth="1"/>
    <col min="813" max="813" width="52.42578125" style="264" customWidth="1"/>
    <col min="814" max="814" width="12.28515625" style="264" customWidth="1"/>
    <col min="815" max="815" width="13.7109375" style="264" customWidth="1"/>
    <col min="816" max="816" width="11" style="264" customWidth="1"/>
    <col min="817" max="817" width="12.5703125" style="264" customWidth="1"/>
    <col min="818" max="818" width="12.42578125" style="264" customWidth="1"/>
    <col min="819" max="819" width="17" style="264" customWidth="1"/>
    <col min="820" max="820" width="14.140625" style="264" customWidth="1"/>
    <col min="821" max="821" width="18.7109375" style="264" customWidth="1"/>
    <col min="822" max="1056" width="9.140625" style="264"/>
    <col min="1057" max="1057" width="9.5703125" style="264" customWidth="1"/>
    <col min="1058" max="1058" width="53.42578125" style="264" bestFit="1" customWidth="1"/>
    <col min="1059" max="1059" width="17.140625" style="264" customWidth="1"/>
    <col min="1060" max="1060" width="13.5703125" style="264" customWidth="1"/>
    <col min="1061" max="1061" width="15.7109375" style="264" customWidth="1"/>
    <col min="1062" max="1062" width="14.7109375" style="264" customWidth="1"/>
    <col min="1063" max="1063" width="16" style="264" customWidth="1"/>
    <col min="1064" max="1064" width="15.42578125" style="264" customWidth="1"/>
    <col min="1065" max="1065" width="12.85546875" style="264" customWidth="1"/>
    <col min="1066" max="1066" width="12.7109375" style="264" customWidth="1"/>
    <col min="1067" max="1067" width="6.28515625" style="264" customWidth="1"/>
    <col min="1068" max="1068" width="11.28515625" style="264" customWidth="1"/>
    <col min="1069" max="1069" width="52.42578125" style="264" customWidth="1"/>
    <col min="1070" max="1070" width="12.28515625" style="264" customWidth="1"/>
    <col min="1071" max="1071" width="13.7109375" style="264" customWidth="1"/>
    <col min="1072" max="1072" width="11" style="264" customWidth="1"/>
    <col min="1073" max="1073" width="12.5703125" style="264" customWidth="1"/>
    <col min="1074" max="1074" width="12.42578125" style="264" customWidth="1"/>
    <col min="1075" max="1075" width="17" style="264" customWidth="1"/>
    <col min="1076" max="1076" width="14.140625" style="264" customWidth="1"/>
    <col min="1077" max="1077" width="18.7109375" style="264" customWidth="1"/>
    <col min="1078" max="1312" width="9.140625" style="264"/>
    <col min="1313" max="1313" width="9.5703125" style="264" customWidth="1"/>
    <col min="1314" max="1314" width="53.42578125" style="264" bestFit="1" customWidth="1"/>
    <col min="1315" max="1315" width="17.140625" style="264" customWidth="1"/>
    <col min="1316" max="1316" width="13.5703125" style="264" customWidth="1"/>
    <col min="1317" max="1317" width="15.7109375" style="264" customWidth="1"/>
    <col min="1318" max="1318" width="14.7109375" style="264" customWidth="1"/>
    <col min="1319" max="1319" width="16" style="264" customWidth="1"/>
    <col min="1320" max="1320" width="15.42578125" style="264" customWidth="1"/>
    <col min="1321" max="1321" width="12.85546875" style="264" customWidth="1"/>
    <col min="1322" max="1322" width="12.7109375" style="264" customWidth="1"/>
    <col min="1323" max="1323" width="6.28515625" style="264" customWidth="1"/>
    <col min="1324" max="1324" width="11.28515625" style="264" customWidth="1"/>
    <col min="1325" max="1325" width="52.42578125" style="264" customWidth="1"/>
    <col min="1326" max="1326" width="12.28515625" style="264" customWidth="1"/>
    <col min="1327" max="1327" width="13.7109375" style="264" customWidth="1"/>
    <col min="1328" max="1328" width="11" style="264" customWidth="1"/>
    <col min="1329" max="1329" width="12.5703125" style="264" customWidth="1"/>
    <col min="1330" max="1330" width="12.42578125" style="264" customWidth="1"/>
    <col min="1331" max="1331" width="17" style="264" customWidth="1"/>
    <col min="1332" max="1332" width="14.140625" style="264" customWidth="1"/>
    <col min="1333" max="1333" width="18.7109375" style="264" customWidth="1"/>
    <col min="1334" max="1568" width="9.140625" style="264"/>
    <col min="1569" max="1569" width="9.5703125" style="264" customWidth="1"/>
    <col min="1570" max="1570" width="53.42578125" style="264" bestFit="1" customWidth="1"/>
    <col min="1571" max="1571" width="17.140625" style="264" customWidth="1"/>
    <col min="1572" max="1572" width="13.5703125" style="264" customWidth="1"/>
    <col min="1573" max="1573" width="15.7109375" style="264" customWidth="1"/>
    <col min="1574" max="1574" width="14.7109375" style="264" customWidth="1"/>
    <col min="1575" max="1575" width="16" style="264" customWidth="1"/>
    <col min="1576" max="1576" width="15.42578125" style="264" customWidth="1"/>
    <col min="1577" max="1577" width="12.85546875" style="264" customWidth="1"/>
    <col min="1578" max="1578" width="12.7109375" style="264" customWidth="1"/>
    <col min="1579" max="1579" width="6.28515625" style="264" customWidth="1"/>
    <col min="1580" max="1580" width="11.28515625" style="264" customWidth="1"/>
    <col min="1581" max="1581" width="52.42578125" style="264" customWidth="1"/>
    <col min="1582" max="1582" width="12.28515625" style="264" customWidth="1"/>
    <col min="1583" max="1583" width="13.7109375" style="264" customWidth="1"/>
    <col min="1584" max="1584" width="11" style="264" customWidth="1"/>
    <col min="1585" max="1585" width="12.5703125" style="264" customWidth="1"/>
    <col min="1586" max="1586" width="12.42578125" style="264" customWidth="1"/>
    <col min="1587" max="1587" width="17" style="264" customWidth="1"/>
    <col min="1588" max="1588" width="14.140625" style="264" customWidth="1"/>
    <col min="1589" max="1589" width="18.7109375" style="264" customWidth="1"/>
    <col min="1590" max="1824" width="9.140625" style="264"/>
    <col min="1825" max="1825" width="9.5703125" style="264" customWidth="1"/>
    <col min="1826" max="1826" width="53.42578125" style="264" bestFit="1" customWidth="1"/>
    <col min="1827" max="1827" width="17.140625" style="264" customWidth="1"/>
    <col min="1828" max="1828" width="13.5703125" style="264" customWidth="1"/>
    <col min="1829" max="1829" width="15.7109375" style="264" customWidth="1"/>
    <col min="1830" max="1830" width="14.7109375" style="264" customWidth="1"/>
    <col min="1831" max="1831" width="16" style="264" customWidth="1"/>
    <col min="1832" max="1832" width="15.42578125" style="264" customWidth="1"/>
    <col min="1833" max="1833" width="12.85546875" style="264" customWidth="1"/>
    <col min="1834" max="1834" width="12.7109375" style="264" customWidth="1"/>
    <col min="1835" max="1835" width="6.28515625" style="264" customWidth="1"/>
    <col min="1836" max="1836" width="11.28515625" style="264" customWidth="1"/>
    <col min="1837" max="1837" width="52.42578125" style="264" customWidth="1"/>
    <col min="1838" max="1838" width="12.28515625" style="264" customWidth="1"/>
    <col min="1839" max="1839" width="13.7109375" style="264" customWidth="1"/>
    <col min="1840" max="1840" width="11" style="264" customWidth="1"/>
    <col min="1841" max="1841" width="12.5703125" style="264" customWidth="1"/>
    <col min="1842" max="1842" width="12.42578125" style="264" customWidth="1"/>
    <col min="1843" max="1843" width="17" style="264" customWidth="1"/>
    <col min="1844" max="1844" width="14.140625" style="264" customWidth="1"/>
    <col min="1845" max="1845" width="18.7109375" style="264" customWidth="1"/>
    <col min="1846" max="2080" width="9.140625" style="264"/>
    <col min="2081" max="2081" width="9.5703125" style="264" customWidth="1"/>
    <col min="2082" max="2082" width="53.42578125" style="264" bestFit="1" customWidth="1"/>
    <col min="2083" max="2083" width="17.140625" style="264" customWidth="1"/>
    <col min="2084" max="2084" width="13.5703125" style="264" customWidth="1"/>
    <col min="2085" max="2085" width="15.7109375" style="264" customWidth="1"/>
    <col min="2086" max="2086" width="14.7109375" style="264" customWidth="1"/>
    <col min="2087" max="2087" width="16" style="264" customWidth="1"/>
    <col min="2088" max="2088" width="15.42578125" style="264" customWidth="1"/>
    <col min="2089" max="2089" width="12.85546875" style="264" customWidth="1"/>
    <col min="2090" max="2090" width="12.7109375" style="264" customWidth="1"/>
    <col min="2091" max="2091" width="6.28515625" style="264" customWidth="1"/>
    <col min="2092" max="2092" width="11.28515625" style="264" customWidth="1"/>
    <col min="2093" max="2093" width="52.42578125" style="264" customWidth="1"/>
    <col min="2094" max="2094" width="12.28515625" style="264" customWidth="1"/>
    <col min="2095" max="2095" width="13.7109375" style="264" customWidth="1"/>
    <col min="2096" max="2096" width="11" style="264" customWidth="1"/>
    <col min="2097" max="2097" width="12.5703125" style="264" customWidth="1"/>
    <col min="2098" max="2098" width="12.42578125" style="264" customWidth="1"/>
    <col min="2099" max="2099" width="17" style="264" customWidth="1"/>
    <col min="2100" max="2100" width="14.140625" style="264" customWidth="1"/>
    <col min="2101" max="2101" width="18.7109375" style="264" customWidth="1"/>
    <col min="2102" max="2336" width="9.140625" style="264"/>
    <col min="2337" max="2337" width="9.5703125" style="264" customWidth="1"/>
    <col min="2338" max="2338" width="53.42578125" style="264" bestFit="1" customWidth="1"/>
    <col min="2339" max="2339" width="17.140625" style="264" customWidth="1"/>
    <col min="2340" max="2340" width="13.5703125" style="264" customWidth="1"/>
    <col min="2341" max="2341" width="15.7109375" style="264" customWidth="1"/>
    <col min="2342" max="2342" width="14.7109375" style="264" customWidth="1"/>
    <col min="2343" max="2343" width="16" style="264" customWidth="1"/>
    <col min="2344" max="2344" width="15.42578125" style="264" customWidth="1"/>
    <col min="2345" max="2345" width="12.85546875" style="264" customWidth="1"/>
    <col min="2346" max="2346" width="12.7109375" style="264" customWidth="1"/>
    <col min="2347" max="2347" width="6.28515625" style="264" customWidth="1"/>
    <col min="2348" max="2348" width="11.28515625" style="264" customWidth="1"/>
    <col min="2349" max="2349" width="52.42578125" style="264" customWidth="1"/>
    <col min="2350" max="2350" width="12.28515625" style="264" customWidth="1"/>
    <col min="2351" max="2351" width="13.7109375" style="264" customWidth="1"/>
    <col min="2352" max="2352" width="11" style="264" customWidth="1"/>
    <col min="2353" max="2353" width="12.5703125" style="264" customWidth="1"/>
    <col min="2354" max="2354" width="12.42578125" style="264" customWidth="1"/>
    <col min="2355" max="2355" width="17" style="264" customWidth="1"/>
    <col min="2356" max="2356" width="14.140625" style="264" customWidth="1"/>
    <col min="2357" max="2357" width="18.7109375" style="264" customWidth="1"/>
    <col min="2358" max="2592" width="9.140625" style="264"/>
    <col min="2593" max="2593" width="9.5703125" style="264" customWidth="1"/>
    <col min="2594" max="2594" width="53.42578125" style="264" bestFit="1" customWidth="1"/>
    <col min="2595" max="2595" width="17.140625" style="264" customWidth="1"/>
    <col min="2596" max="2596" width="13.5703125" style="264" customWidth="1"/>
    <col min="2597" max="2597" width="15.7109375" style="264" customWidth="1"/>
    <col min="2598" max="2598" width="14.7109375" style="264" customWidth="1"/>
    <col min="2599" max="2599" width="16" style="264" customWidth="1"/>
    <col min="2600" max="2600" width="15.42578125" style="264" customWidth="1"/>
    <col min="2601" max="2601" width="12.85546875" style="264" customWidth="1"/>
    <col min="2602" max="2602" width="12.7109375" style="264" customWidth="1"/>
    <col min="2603" max="2603" width="6.28515625" style="264" customWidth="1"/>
    <col min="2604" max="2604" width="11.28515625" style="264" customWidth="1"/>
    <col min="2605" max="2605" width="52.42578125" style="264" customWidth="1"/>
    <col min="2606" max="2606" width="12.28515625" style="264" customWidth="1"/>
    <col min="2607" max="2607" width="13.7109375" style="264" customWidth="1"/>
    <col min="2608" max="2608" width="11" style="264" customWidth="1"/>
    <col min="2609" max="2609" width="12.5703125" style="264" customWidth="1"/>
    <col min="2610" max="2610" width="12.42578125" style="264" customWidth="1"/>
    <col min="2611" max="2611" width="17" style="264" customWidth="1"/>
    <col min="2612" max="2612" width="14.140625" style="264" customWidth="1"/>
    <col min="2613" max="2613" width="18.7109375" style="264" customWidth="1"/>
    <col min="2614" max="2848" width="9.140625" style="264"/>
    <col min="2849" max="2849" width="9.5703125" style="264" customWidth="1"/>
    <col min="2850" max="2850" width="53.42578125" style="264" bestFit="1" customWidth="1"/>
    <col min="2851" max="2851" width="17.140625" style="264" customWidth="1"/>
    <col min="2852" max="2852" width="13.5703125" style="264" customWidth="1"/>
    <col min="2853" max="2853" width="15.7109375" style="264" customWidth="1"/>
    <col min="2854" max="2854" width="14.7109375" style="264" customWidth="1"/>
    <col min="2855" max="2855" width="16" style="264" customWidth="1"/>
    <col min="2856" max="2856" width="15.42578125" style="264" customWidth="1"/>
    <col min="2857" max="2857" width="12.85546875" style="264" customWidth="1"/>
    <col min="2858" max="2858" width="12.7109375" style="264" customWidth="1"/>
    <col min="2859" max="2859" width="6.28515625" style="264" customWidth="1"/>
    <col min="2860" max="2860" width="11.28515625" style="264" customWidth="1"/>
    <col min="2861" max="2861" width="52.42578125" style="264" customWidth="1"/>
    <col min="2862" max="2862" width="12.28515625" style="264" customWidth="1"/>
    <col min="2863" max="2863" width="13.7109375" style="264" customWidth="1"/>
    <col min="2864" max="2864" width="11" style="264" customWidth="1"/>
    <col min="2865" max="2865" width="12.5703125" style="264" customWidth="1"/>
    <col min="2866" max="2866" width="12.42578125" style="264" customWidth="1"/>
    <col min="2867" max="2867" width="17" style="264" customWidth="1"/>
    <col min="2868" max="2868" width="14.140625" style="264" customWidth="1"/>
    <col min="2869" max="2869" width="18.7109375" style="264" customWidth="1"/>
    <col min="2870" max="3104" width="9.140625" style="264"/>
    <col min="3105" max="3105" width="9.5703125" style="264" customWidth="1"/>
    <col min="3106" max="3106" width="53.42578125" style="264" bestFit="1" customWidth="1"/>
    <col min="3107" max="3107" width="17.140625" style="264" customWidth="1"/>
    <col min="3108" max="3108" width="13.5703125" style="264" customWidth="1"/>
    <col min="3109" max="3109" width="15.7109375" style="264" customWidth="1"/>
    <col min="3110" max="3110" width="14.7109375" style="264" customWidth="1"/>
    <col min="3111" max="3111" width="16" style="264" customWidth="1"/>
    <col min="3112" max="3112" width="15.42578125" style="264" customWidth="1"/>
    <col min="3113" max="3113" width="12.85546875" style="264" customWidth="1"/>
    <col min="3114" max="3114" width="12.7109375" style="264" customWidth="1"/>
    <col min="3115" max="3115" width="6.28515625" style="264" customWidth="1"/>
    <col min="3116" max="3116" width="11.28515625" style="264" customWidth="1"/>
    <col min="3117" max="3117" width="52.42578125" style="264" customWidth="1"/>
    <col min="3118" max="3118" width="12.28515625" style="264" customWidth="1"/>
    <col min="3119" max="3119" width="13.7109375" style="264" customWidth="1"/>
    <col min="3120" max="3120" width="11" style="264" customWidth="1"/>
    <col min="3121" max="3121" width="12.5703125" style="264" customWidth="1"/>
    <col min="3122" max="3122" width="12.42578125" style="264" customWidth="1"/>
    <col min="3123" max="3123" width="17" style="264" customWidth="1"/>
    <col min="3124" max="3124" width="14.140625" style="264" customWidth="1"/>
    <col min="3125" max="3125" width="18.7109375" style="264" customWidth="1"/>
    <col min="3126" max="3360" width="9.140625" style="264"/>
    <col min="3361" max="3361" width="9.5703125" style="264" customWidth="1"/>
    <col min="3362" max="3362" width="53.42578125" style="264" bestFit="1" customWidth="1"/>
    <col min="3363" max="3363" width="17.140625" style="264" customWidth="1"/>
    <col min="3364" max="3364" width="13.5703125" style="264" customWidth="1"/>
    <col min="3365" max="3365" width="15.7109375" style="264" customWidth="1"/>
    <col min="3366" max="3366" width="14.7109375" style="264" customWidth="1"/>
    <col min="3367" max="3367" width="16" style="264" customWidth="1"/>
    <col min="3368" max="3368" width="15.42578125" style="264" customWidth="1"/>
    <col min="3369" max="3369" width="12.85546875" style="264" customWidth="1"/>
    <col min="3370" max="3370" width="12.7109375" style="264" customWidth="1"/>
    <col min="3371" max="3371" width="6.28515625" style="264" customWidth="1"/>
    <col min="3372" max="3372" width="11.28515625" style="264" customWidth="1"/>
    <col min="3373" max="3373" width="52.42578125" style="264" customWidth="1"/>
    <col min="3374" max="3374" width="12.28515625" style="264" customWidth="1"/>
    <col min="3375" max="3375" width="13.7109375" style="264" customWidth="1"/>
    <col min="3376" max="3376" width="11" style="264" customWidth="1"/>
    <col min="3377" max="3377" width="12.5703125" style="264" customWidth="1"/>
    <col min="3378" max="3378" width="12.42578125" style="264" customWidth="1"/>
    <col min="3379" max="3379" width="17" style="264" customWidth="1"/>
    <col min="3380" max="3380" width="14.140625" style="264" customWidth="1"/>
    <col min="3381" max="3381" width="18.7109375" style="264" customWidth="1"/>
    <col min="3382" max="3616" width="9.140625" style="264"/>
    <col min="3617" max="3617" width="9.5703125" style="264" customWidth="1"/>
    <col min="3618" max="3618" width="53.42578125" style="264" bestFit="1" customWidth="1"/>
    <col min="3619" max="3619" width="17.140625" style="264" customWidth="1"/>
    <col min="3620" max="3620" width="13.5703125" style="264" customWidth="1"/>
    <col min="3621" max="3621" width="15.7109375" style="264" customWidth="1"/>
    <col min="3622" max="3622" width="14.7109375" style="264" customWidth="1"/>
    <col min="3623" max="3623" width="16" style="264" customWidth="1"/>
    <col min="3624" max="3624" width="15.42578125" style="264" customWidth="1"/>
    <col min="3625" max="3625" width="12.85546875" style="264" customWidth="1"/>
    <col min="3626" max="3626" width="12.7109375" style="264" customWidth="1"/>
    <col min="3627" max="3627" width="6.28515625" style="264" customWidth="1"/>
    <col min="3628" max="3628" width="11.28515625" style="264" customWidth="1"/>
    <col min="3629" max="3629" width="52.42578125" style="264" customWidth="1"/>
    <col min="3630" max="3630" width="12.28515625" style="264" customWidth="1"/>
    <col min="3631" max="3631" width="13.7109375" style="264" customWidth="1"/>
    <col min="3632" max="3632" width="11" style="264" customWidth="1"/>
    <col min="3633" max="3633" width="12.5703125" style="264" customWidth="1"/>
    <col min="3634" max="3634" width="12.42578125" style="264" customWidth="1"/>
    <col min="3635" max="3635" width="17" style="264" customWidth="1"/>
    <col min="3636" max="3636" width="14.140625" style="264" customWidth="1"/>
    <col min="3637" max="3637" width="18.7109375" style="264" customWidth="1"/>
    <col min="3638" max="3872" width="9.140625" style="264"/>
    <col min="3873" max="3873" width="9.5703125" style="264" customWidth="1"/>
    <col min="3874" max="3874" width="53.42578125" style="264" bestFit="1" customWidth="1"/>
    <col min="3875" max="3875" width="17.140625" style="264" customWidth="1"/>
    <col min="3876" max="3876" width="13.5703125" style="264" customWidth="1"/>
    <col min="3877" max="3877" width="15.7109375" style="264" customWidth="1"/>
    <col min="3878" max="3878" width="14.7109375" style="264" customWidth="1"/>
    <col min="3879" max="3879" width="16" style="264" customWidth="1"/>
    <col min="3880" max="3880" width="15.42578125" style="264" customWidth="1"/>
    <col min="3881" max="3881" width="12.85546875" style="264" customWidth="1"/>
    <col min="3882" max="3882" width="12.7109375" style="264" customWidth="1"/>
    <col min="3883" max="3883" width="6.28515625" style="264" customWidth="1"/>
    <col min="3884" max="3884" width="11.28515625" style="264" customWidth="1"/>
    <col min="3885" max="3885" width="52.42578125" style="264" customWidth="1"/>
    <col min="3886" max="3886" width="12.28515625" style="264" customWidth="1"/>
    <col min="3887" max="3887" width="13.7109375" style="264" customWidth="1"/>
    <col min="3888" max="3888" width="11" style="264" customWidth="1"/>
    <col min="3889" max="3889" width="12.5703125" style="264" customWidth="1"/>
    <col min="3890" max="3890" width="12.42578125" style="264" customWidth="1"/>
    <col min="3891" max="3891" width="17" style="264" customWidth="1"/>
    <col min="3892" max="3892" width="14.140625" style="264" customWidth="1"/>
    <col min="3893" max="3893" width="18.7109375" style="264" customWidth="1"/>
    <col min="3894" max="4128" width="9.140625" style="264"/>
    <col min="4129" max="4129" width="9.5703125" style="264" customWidth="1"/>
    <col min="4130" max="4130" width="53.42578125" style="264" bestFit="1" customWidth="1"/>
    <col min="4131" max="4131" width="17.140625" style="264" customWidth="1"/>
    <col min="4132" max="4132" width="13.5703125" style="264" customWidth="1"/>
    <col min="4133" max="4133" width="15.7109375" style="264" customWidth="1"/>
    <col min="4134" max="4134" width="14.7109375" style="264" customWidth="1"/>
    <col min="4135" max="4135" width="16" style="264" customWidth="1"/>
    <col min="4136" max="4136" width="15.42578125" style="264" customWidth="1"/>
    <col min="4137" max="4137" width="12.85546875" style="264" customWidth="1"/>
    <col min="4138" max="4138" width="12.7109375" style="264" customWidth="1"/>
    <col min="4139" max="4139" width="6.28515625" style="264" customWidth="1"/>
    <col min="4140" max="4140" width="11.28515625" style="264" customWidth="1"/>
    <col min="4141" max="4141" width="52.42578125" style="264" customWidth="1"/>
    <col min="4142" max="4142" width="12.28515625" style="264" customWidth="1"/>
    <col min="4143" max="4143" width="13.7109375" style="264" customWidth="1"/>
    <col min="4144" max="4144" width="11" style="264" customWidth="1"/>
    <col min="4145" max="4145" width="12.5703125" style="264" customWidth="1"/>
    <col min="4146" max="4146" width="12.42578125" style="264" customWidth="1"/>
    <col min="4147" max="4147" width="17" style="264" customWidth="1"/>
    <col min="4148" max="4148" width="14.140625" style="264" customWidth="1"/>
    <col min="4149" max="4149" width="18.7109375" style="264" customWidth="1"/>
    <col min="4150" max="4384" width="9.140625" style="264"/>
    <col min="4385" max="4385" width="9.5703125" style="264" customWidth="1"/>
    <col min="4386" max="4386" width="53.42578125" style="264" bestFit="1" customWidth="1"/>
    <col min="4387" max="4387" width="17.140625" style="264" customWidth="1"/>
    <col min="4388" max="4388" width="13.5703125" style="264" customWidth="1"/>
    <col min="4389" max="4389" width="15.7109375" style="264" customWidth="1"/>
    <col min="4390" max="4390" width="14.7109375" style="264" customWidth="1"/>
    <col min="4391" max="4391" width="16" style="264" customWidth="1"/>
    <col min="4392" max="4392" width="15.42578125" style="264" customWidth="1"/>
    <col min="4393" max="4393" width="12.85546875" style="264" customWidth="1"/>
    <col min="4394" max="4394" width="12.7109375" style="264" customWidth="1"/>
    <col min="4395" max="4395" width="6.28515625" style="264" customWidth="1"/>
    <col min="4396" max="4396" width="11.28515625" style="264" customWidth="1"/>
    <col min="4397" max="4397" width="52.42578125" style="264" customWidth="1"/>
    <col min="4398" max="4398" width="12.28515625" style="264" customWidth="1"/>
    <col min="4399" max="4399" width="13.7109375" style="264" customWidth="1"/>
    <col min="4400" max="4400" width="11" style="264" customWidth="1"/>
    <col min="4401" max="4401" width="12.5703125" style="264" customWidth="1"/>
    <col min="4402" max="4402" width="12.42578125" style="264" customWidth="1"/>
    <col min="4403" max="4403" width="17" style="264" customWidth="1"/>
    <col min="4404" max="4404" width="14.140625" style="264" customWidth="1"/>
    <col min="4405" max="4405" width="18.7109375" style="264" customWidth="1"/>
    <col min="4406" max="4640" width="9.140625" style="264"/>
    <col min="4641" max="4641" width="9.5703125" style="264" customWidth="1"/>
    <col min="4642" max="4642" width="53.42578125" style="264" bestFit="1" customWidth="1"/>
    <col min="4643" max="4643" width="17.140625" style="264" customWidth="1"/>
    <col min="4644" max="4644" width="13.5703125" style="264" customWidth="1"/>
    <col min="4645" max="4645" width="15.7109375" style="264" customWidth="1"/>
    <col min="4646" max="4646" width="14.7109375" style="264" customWidth="1"/>
    <col min="4647" max="4647" width="16" style="264" customWidth="1"/>
    <col min="4648" max="4648" width="15.42578125" style="264" customWidth="1"/>
    <col min="4649" max="4649" width="12.85546875" style="264" customWidth="1"/>
    <col min="4650" max="4650" width="12.7109375" style="264" customWidth="1"/>
    <col min="4651" max="4651" width="6.28515625" style="264" customWidth="1"/>
    <col min="4652" max="4652" width="11.28515625" style="264" customWidth="1"/>
    <col min="4653" max="4653" width="52.42578125" style="264" customWidth="1"/>
    <col min="4654" max="4654" width="12.28515625" style="264" customWidth="1"/>
    <col min="4655" max="4655" width="13.7109375" style="264" customWidth="1"/>
    <col min="4656" max="4656" width="11" style="264" customWidth="1"/>
    <col min="4657" max="4657" width="12.5703125" style="264" customWidth="1"/>
    <col min="4658" max="4658" width="12.42578125" style="264" customWidth="1"/>
    <col min="4659" max="4659" width="17" style="264" customWidth="1"/>
    <col min="4660" max="4660" width="14.140625" style="264" customWidth="1"/>
    <col min="4661" max="4661" width="18.7109375" style="264" customWidth="1"/>
    <col min="4662" max="4896" width="9.140625" style="264"/>
    <col min="4897" max="4897" width="9.5703125" style="264" customWidth="1"/>
    <col min="4898" max="4898" width="53.42578125" style="264" bestFit="1" customWidth="1"/>
    <col min="4899" max="4899" width="17.140625" style="264" customWidth="1"/>
    <col min="4900" max="4900" width="13.5703125" style="264" customWidth="1"/>
    <col min="4901" max="4901" width="15.7109375" style="264" customWidth="1"/>
    <col min="4902" max="4902" width="14.7109375" style="264" customWidth="1"/>
    <col min="4903" max="4903" width="16" style="264" customWidth="1"/>
    <col min="4904" max="4904" width="15.42578125" style="264" customWidth="1"/>
    <col min="4905" max="4905" width="12.85546875" style="264" customWidth="1"/>
    <col min="4906" max="4906" width="12.7109375" style="264" customWidth="1"/>
    <col min="4907" max="4907" width="6.28515625" style="264" customWidth="1"/>
    <col min="4908" max="4908" width="11.28515625" style="264" customWidth="1"/>
    <col min="4909" max="4909" width="52.42578125" style="264" customWidth="1"/>
    <col min="4910" max="4910" width="12.28515625" style="264" customWidth="1"/>
    <col min="4911" max="4911" width="13.7109375" style="264" customWidth="1"/>
    <col min="4912" max="4912" width="11" style="264" customWidth="1"/>
    <col min="4913" max="4913" width="12.5703125" style="264" customWidth="1"/>
    <col min="4914" max="4914" width="12.42578125" style="264" customWidth="1"/>
    <col min="4915" max="4915" width="17" style="264" customWidth="1"/>
    <col min="4916" max="4916" width="14.140625" style="264" customWidth="1"/>
    <col min="4917" max="4917" width="18.7109375" style="264" customWidth="1"/>
    <col min="4918" max="5152" width="9.140625" style="264"/>
    <col min="5153" max="5153" width="9.5703125" style="264" customWidth="1"/>
    <col min="5154" max="5154" width="53.42578125" style="264" bestFit="1" customWidth="1"/>
    <col min="5155" max="5155" width="17.140625" style="264" customWidth="1"/>
    <col min="5156" max="5156" width="13.5703125" style="264" customWidth="1"/>
    <col min="5157" max="5157" width="15.7109375" style="264" customWidth="1"/>
    <col min="5158" max="5158" width="14.7109375" style="264" customWidth="1"/>
    <col min="5159" max="5159" width="16" style="264" customWidth="1"/>
    <col min="5160" max="5160" width="15.42578125" style="264" customWidth="1"/>
    <col min="5161" max="5161" width="12.85546875" style="264" customWidth="1"/>
    <col min="5162" max="5162" width="12.7109375" style="264" customWidth="1"/>
    <col min="5163" max="5163" width="6.28515625" style="264" customWidth="1"/>
    <col min="5164" max="5164" width="11.28515625" style="264" customWidth="1"/>
    <col min="5165" max="5165" width="52.42578125" style="264" customWidth="1"/>
    <col min="5166" max="5166" width="12.28515625" style="264" customWidth="1"/>
    <col min="5167" max="5167" width="13.7109375" style="264" customWidth="1"/>
    <col min="5168" max="5168" width="11" style="264" customWidth="1"/>
    <col min="5169" max="5169" width="12.5703125" style="264" customWidth="1"/>
    <col min="5170" max="5170" width="12.42578125" style="264" customWidth="1"/>
    <col min="5171" max="5171" width="17" style="264" customWidth="1"/>
    <col min="5172" max="5172" width="14.140625" style="264" customWidth="1"/>
    <col min="5173" max="5173" width="18.7109375" style="264" customWidth="1"/>
    <col min="5174" max="5408" width="9.140625" style="264"/>
    <col min="5409" max="5409" width="9.5703125" style="264" customWidth="1"/>
    <col min="5410" max="5410" width="53.42578125" style="264" bestFit="1" customWidth="1"/>
    <col min="5411" max="5411" width="17.140625" style="264" customWidth="1"/>
    <col min="5412" max="5412" width="13.5703125" style="264" customWidth="1"/>
    <col min="5413" max="5413" width="15.7109375" style="264" customWidth="1"/>
    <col min="5414" max="5414" width="14.7109375" style="264" customWidth="1"/>
    <col min="5415" max="5415" width="16" style="264" customWidth="1"/>
    <col min="5416" max="5416" width="15.42578125" style="264" customWidth="1"/>
    <col min="5417" max="5417" width="12.85546875" style="264" customWidth="1"/>
    <col min="5418" max="5418" width="12.7109375" style="264" customWidth="1"/>
    <col min="5419" max="5419" width="6.28515625" style="264" customWidth="1"/>
    <col min="5420" max="5420" width="11.28515625" style="264" customWidth="1"/>
    <col min="5421" max="5421" width="52.42578125" style="264" customWidth="1"/>
    <col min="5422" max="5422" width="12.28515625" style="264" customWidth="1"/>
    <col min="5423" max="5423" width="13.7109375" style="264" customWidth="1"/>
    <col min="5424" max="5424" width="11" style="264" customWidth="1"/>
    <col min="5425" max="5425" width="12.5703125" style="264" customWidth="1"/>
    <col min="5426" max="5426" width="12.42578125" style="264" customWidth="1"/>
    <col min="5427" max="5427" width="17" style="264" customWidth="1"/>
    <col min="5428" max="5428" width="14.140625" style="264" customWidth="1"/>
    <col min="5429" max="5429" width="18.7109375" style="264" customWidth="1"/>
    <col min="5430" max="5664" width="9.140625" style="264"/>
    <col min="5665" max="5665" width="9.5703125" style="264" customWidth="1"/>
    <col min="5666" max="5666" width="53.42578125" style="264" bestFit="1" customWidth="1"/>
    <col min="5667" max="5667" width="17.140625" style="264" customWidth="1"/>
    <col min="5668" max="5668" width="13.5703125" style="264" customWidth="1"/>
    <col min="5669" max="5669" width="15.7109375" style="264" customWidth="1"/>
    <col min="5670" max="5670" width="14.7109375" style="264" customWidth="1"/>
    <col min="5671" max="5671" width="16" style="264" customWidth="1"/>
    <col min="5672" max="5672" width="15.42578125" style="264" customWidth="1"/>
    <col min="5673" max="5673" width="12.85546875" style="264" customWidth="1"/>
    <col min="5674" max="5674" width="12.7109375" style="264" customWidth="1"/>
    <col min="5675" max="5675" width="6.28515625" style="264" customWidth="1"/>
    <col min="5676" max="5676" width="11.28515625" style="264" customWidth="1"/>
    <col min="5677" max="5677" width="52.42578125" style="264" customWidth="1"/>
    <col min="5678" max="5678" width="12.28515625" style="264" customWidth="1"/>
    <col min="5679" max="5679" width="13.7109375" style="264" customWidth="1"/>
    <col min="5680" max="5680" width="11" style="264" customWidth="1"/>
    <col min="5681" max="5681" width="12.5703125" style="264" customWidth="1"/>
    <col min="5682" max="5682" width="12.42578125" style="264" customWidth="1"/>
    <col min="5683" max="5683" width="17" style="264" customWidth="1"/>
    <col min="5684" max="5684" width="14.140625" style="264" customWidth="1"/>
    <col min="5685" max="5685" width="18.7109375" style="264" customWidth="1"/>
    <col min="5686" max="5920" width="9.140625" style="264"/>
    <col min="5921" max="5921" width="9.5703125" style="264" customWidth="1"/>
    <col min="5922" max="5922" width="53.42578125" style="264" bestFit="1" customWidth="1"/>
    <col min="5923" max="5923" width="17.140625" style="264" customWidth="1"/>
    <col min="5924" max="5924" width="13.5703125" style="264" customWidth="1"/>
    <col min="5925" max="5925" width="15.7109375" style="264" customWidth="1"/>
    <col min="5926" max="5926" width="14.7109375" style="264" customWidth="1"/>
    <col min="5927" max="5927" width="16" style="264" customWidth="1"/>
    <col min="5928" max="5928" width="15.42578125" style="264" customWidth="1"/>
    <col min="5929" max="5929" width="12.85546875" style="264" customWidth="1"/>
    <col min="5930" max="5930" width="12.7109375" style="264" customWidth="1"/>
    <col min="5931" max="5931" width="6.28515625" style="264" customWidth="1"/>
    <col min="5932" max="5932" width="11.28515625" style="264" customWidth="1"/>
    <col min="5933" max="5933" width="52.42578125" style="264" customWidth="1"/>
    <col min="5934" max="5934" width="12.28515625" style="264" customWidth="1"/>
    <col min="5935" max="5935" width="13.7109375" style="264" customWidth="1"/>
    <col min="5936" max="5936" width="11" style="264" customWidth="1"/>
    <col min="5937" max="5937" width="12.5703125" style="264" customWidth="1"/>
    <col min="5938" max="5938" width="12.42578125" style="264" customWidth="1"/>
    <col min="5939" max="5939" width="17" style="264" customWidth="1"/>
    <col min="5940" max="5940" width="14.140625" style="264" customWidth="1"/>
    <col min="5941" max="5941" width="18.7109375" style="264" customWidth="1"/>
    <col min="5942" max="6176" width="9.140625" style="264"/>
    <col min="6177" max="6177" width="9.5703125" style="264" customWidth="1"/>
    <col min="6178" max="6178" width="53.42578125" style="264" bestFit="1" customWidth="1"/>
    <col min="6179" max="6179" width="17.140625" style="264" customWidth="1"/>
    <col min="6180" max="6180" width="13.5703125" style="264" customWidth="1"/>
    <col min="6181" max="6181" width="15.7109375" style="264" customWidth="1"/>
    <col min="6182" max="6182" width="14.7109375" style="264" customWidth="1"/>
    <col min="6183" max="6183" width="16" style="264" customWidth="1"/>
    <col min="6184" max="6184" width="15.42578125" style="264" customWidth="1"/>
    <col min="6185" max="6185" width="12.85546875" style="264" customWidth="1"/>
    <col min="6186" max="6186" width="12.7109375" style="264" customWidth="1"/>
    <col min="6187" max="6187" width="6.28515625" style="264" customWidth="1"/>
    <col min="6188" max="6188" width="11.28515625" style="264" customWidth="1"/>
    <col min="6189" max="6189" width="52.42578125" style="264" customWidth="1"/>
    <col min="6190" max="6190" width="12.28515625" style="264" customWidth="1"/>
    <col min="6191" max="6191" width="13.7109375" style="264" customWidth="1"/>
    <col min="6192" max="6192" width="11" style="264" customWidth="1"/>
    <col min="6193" max="6193" width="12.5703125" style="264" customWidth="1"/>
    <col min="6194" max="6194" width="12.42578125" style="264" customWidth="1"/>
    <col min="6195" max="6195" width="17" style="264" customWidth="1"/>
    <col min="6196" max="6196" width="14.140625" style="264" customWidth="1"/>
    <col min="6197" max="6197" width="18.7109375" style="264" customWidth="1"/>
    <col min="6198" max="6432" width="9.140625" style="264"/>
    <col min="6433" max="6433" width="9.5703125" style="264" customWidth="1"/>
    <col min="6434" max="6434" width="53.42578125" style="264" bestFit="1" customWidth="1"/>
    <col min="6435" max="6435" width="17.140625" style="264" customWidth="1"/>
    <col min="6436" max="6436" width="13.5703125" style="264" customWidth="1"/>
    <col min="6437" max="6437" width="15.7109375" style="264" customWidth="1"/>
    <col min="6438" max="6438" width="14.7109375" style="264" customWidth="1"/>
    <col min="6439" max="6439" width="16" style="264" customWidth="1"/>
    <col min="6440" max="6440" width="15.42578125" style="264" customWidth="1"/>
    <col min="6441" max="6441" width="12.85546875" style="264" customWidth="1"/>
    <col min="6442" max="6442" width="12.7109375" style="264" customWidth="1"/>
    <col min="6443" max="6443" width="6.28515625" style="264" customWidth="1"/>
    <col min="6444" max="6444" width="11.28515625" style="264" customWidth="1"/>
    <col min="6445" max="6445" width="52.42578125" style="264" customWidth="1"/>
    <col min="6446" max="6446" width="12.28515625" style="264" customWidth="1"/>
    <col min="6447" max="6447" width="13.7109375" style="264" customWidth="1"/>
    <col min="6448" max="6448" width="11" style="264" customWidth="1"/>
    <col min="6449" max="6449" width="12.5703125" style="264" customWidth="1"/>
    <col min="6450" max="6450" width="12.42578125" style="264" customWidth="1"/>
    <col min="6451" max="6451" width="17" style="264" customWidth="1"/>
    <col min="6452" max="6452" width="14.140625" style="264" customWidth="1"/>
    <col min="6453" max="6453" width="18.7109375" style="264" customWidth="1"/>
    <col min="6454" max="6688" width="9.140625" style="264"/>
    <col min="6689" max="6689" width="9.5703125" style="264" customWidth="1"/>
    <col min="6690" max="6690" width="53.42578125" style="264" bestFit="1" customWidth="1"/>
    <col min="6691" max="6691" width="17.140625" style="264" customWidth="1"/>
    <col min="6692" max="6692" width="13.5703125" style="264" customWidth="1"/>
    <col min="6693" max="6693" width="15.7109375" style="264" customWidth="1"/>
    <col min="6694" max="6694" width="14.7109375" style="264" customWidth="1"/>
    <col min="6695" max="6695" width="16" style="264" customWidth="1"/>
    <col min="6696" max="6696" width="15.42578125" style="264" customWidth="1"/>
    <col min="6697" max="6697" width="12.85546875" style="264" customWidth="1"/>
    <col min="6698" max="6698" width="12.7109375" style="264" customWidth="1"/>
    <col min="6699" max="6699" width="6.28515625" style="264" customWidth="1"/>
    <col min="6700" max="6700" width="11.28515625" style="264" customWidth="1"/>
    <col min="6701" max="6701" width="52.42578125" style="264" customWidth="1"/>
    <col min="6702" max="6702" width="12.28515625" style="264" customWidth="1"/>
    <col min="6703" max="6703" width="13.7109375" style="264" customWidth="1"/>
    <col min="6704" max="6704" width="11" style="264" customWidth="1"/>
    <col min="6705" max="6705" width="12.5703125" style="264" customWidth="1"/>
    <col min="6706" max="6706" width="12.42578125" style="264" customWidth="1"/>
    <col min="6707" max="6707" width="17" style="264" customWidth="1"/>
    <col min="6708" max="6708" width="14.140625" style="264" customWidth="1"/>
    <col min="6709" max="6709" width="18.7109375" style="264" customWidth="1"/>
    <col min="6710" max="6944" width="9.140625" style="264"/>
    <col min="6945" max="6945" width="9.5703125" style="264" customWidth="1"/>
    <col min="6946" max="6946" width="53.42578125" style="264" bestFit="1" customWidth="1"/>
    <col min="6947" max="6947" width="17.140625" style="264" customWidth="1"/>
    <col min="6948" max="6948" width="13.5703125" style="264" customWidth="1"/>
    <col min="6949" max="6949" width="15.7109375" style="264" customWidth="1"/>
    <col min="6950" max="6950" width="14.7109375" style="264" customWidth="1"/>
    <col min="6951" max="6951" width="16" style="264" customWidth="1"/>
    <col min="6952" max="6952" width="15.42578125" style="264" customWidth="1"/>
    <col min="6953" max="6953" width="12.85546875" style="264" customWidth="1"/>
    <col min="6954" max="6954" width="12.7109375" style="264" customWidth="1"/>
    <col min="6955" max="6955" width="6.28515625" style="264" customWidth="1"/>
    <col min="6956" max="6956" width="11.28515625" style="264" customWidth="1"/>
    <col min="6957" max="6957" width="52.42578125" style="264" customWidth="1"/>
    <col min="6958" max="6958" width="12.28515625" style="264" customWidth="1"/>
    <col min="6959" max="6959" width="13.7109375" style="264" customWidth="1"/>
    <col min="6960" max="6960" width="11" style="264" customWidth="1"/>
    <col min="6961" max="6961" width="12.5703125" style="264" customWidth="1"/>
    <col min="6962" max="6962" width="12.42578125" style="264" customWidth="1"/>
    <col min="6963" max="6963" width="17" style="264" customWidth="1"/>
    <col min="6964" max="6964" width="14.140625" style="264" customWidth="1"/>
    <col min="6965" max="6965" width="18.7109375" style="264" customWidth="1"/>
    <col min="6966" max="7200" width="9.140625" style="264"/>
    <col min="7201" max="7201" width="9.5703125" style="264" customWidth="1"/>
    <col min="7202" max="7202" width="53.42578125" style="264" bestFit="1" customWidth="1"/>
    <col min="7203" max="7203" width="17.140625" style="264" customWidth="1"/>
    <col min="7204" max="7204" width="13.5703125" style="264" customWidth="1"/>
    <col min="7205" max="7205" width="15.7109375" style="264" customWidth="1"/>
    <col min="7206" max="7206" width="14.7109375" style="264" customWidth="1"/>
    <col min="7207" max="7207" width="16" style="264" customWidth="1"/>
    <col min="7208" max="7208" width="15.42578125" style="264" customWidth="1"/>
    <col min="7209" max="7209" width="12.85546875" style="264" customWidth="1"/>
    <col min="7210" max="7210" width="12.7109375" style="264" customWidth="1"/>
    <col min="7211" max="7211" width="6.28515625" style="264" customWidth="1"/>
    <col min="7212" max="7212" width="11.28515625" style="264" customWidth="1"/>
    <col min="7213" max="7213" width="52.42578125" style="264" customWidth="1"/>
    <col min="7214" max="7214" width="12.28515625" style="264" customWidth="1"/>
    <col min="7215" max="7215" width="13.7109375" style="264" customWidth="1"/>
    <col min="7216" max="7216" width="11" style="264" customWidth="1"/>
    <col min="7217" max="7217" width="12.5703125" style="264" customWidth="1"/>
    <col min="7218" max="7218" width="12.42578125" style="264" customWidth="1"/>
    <col min="7219" max="7219" width="17" style="264" customWidth="1"/>
    <col min="7220" max="7220" width="14.140625" style="264" customWidth="1"/>
    <col min="7221" max="7221" width="18.7109375" style="264" customWidth="1"/>
    <col min="7222" max="7456" width="9.140625" style="264"/>
    <col min="7457" max="7457" width="9.5703125" style="264" customWidth="1"/>
    <col min="7458" max="7458" width="53.42578125" style="264" bestFit="1" customWidth="1"/>
    <col min="7459" max="7459" width="17.140625" style="264" customWidth="1"/>
    <col min="7460" max="7460" width="13.5703125" style="264" customWidth="1"/>
    <col min="7461" max="7461" width="15.7109375" style="264" customWidth="1"/>
    <col min="7462" max="7462" width="14.7109375" style="264" customWidth="1"/>
    <col min="7463" max="7463" width="16" style="264" customWidth="1"/>
    <col min="7464" max="7464" width="15.42578125" style="264" customWidth="1"/>
    <col min="7465" max="7465" width="12.85546875" style="264" customWidth="1"/>
    <col min="7466" max="7466" width="12.7109375" style="264" customWidth="1"/>
    <col min="7467" max="7467" width="6.28515625" style="264" customWidth="1"/>
    <col min="7468" max="7468" width="11.28515625" style="264" customWidth="1"/>
    <col min="7469" max="7469" width="52.42578125" style="264" customWidth="1"/>
    <col min="7470" max="7470" width="12.28515625" style="264" customWidth="1"/>
    <col min="7471" max="7471" width="13.7109375" style="264" customWidth="1"/>
    <col min="7472" max="7472" width="11" style="264" customWidth="1"/>
    <col min="7473" max="7473" width="12.5703125" style="264" customWidth="1"/>
    <col min="7474" max="7474" width="12.42578125" style="264" customWidth="1"/>
    <col min="7475" max="7475" width="17" style="264" customWidth="1"/>
    <col min="7476" max="7476" width="14.140625" style="264" customWidth="1"/>
    <col min="7477" max="7477" width="18.7109375" style="264" customWidth="1"/>
    <col min="7478" max="7712" width="9.140625" style="264"/>
    <col min="7713" max="7713" width="9.5703125" style="264" customWidth="1"/>
    <col min="7714" max="7714" width="53.42578125" style="264" bestFit="1" customWidth="1"/>
    <col min="7715" max="7715" width="17.140625" style="264" customWidth="1"/>
    <col min="7716" max="7716" width="13.5703125" style="264" customWidth="1"/>
    <col min="7717" max="7717" width="15.7109375" style="264" customWidth="1"/>
    <col min="7718" max="7718" width="14.7109375" style="264" customWidth="1"/>
    <col min="7719" max="7719" width="16" style="264" customWidth="1"/>
    <col min="7720" max="7720" width="15.42578125" style="264" customWidth="1"/>
    <col min="7721" max="7721" width="12.85546875" style="264" customWidth="1"/>
    <col min="7722" max="7722" width="12.7109375" style="264" customWidth="1"/>
    <col min="7723" max="7723" width="6.28515625" style="264" customWidth="1"/>
    <col min="7724" max="7724" width="11.28515625" style="264" customWidth="1"/>
    <col min="7725" max="7725" width="52.42578125" style="264" customWidth="1"/>
    <col min="7726" max="7726" width="12.28515625" style="264" customWidth="1"/>
    <col min="7727" max="7727" width="13.7109375" style="264" customWidth="1"/>
    <col min="7728" max="7728" width="11" style="264" customWidth="1"/>
    <col min="7729" max="7729" width="12.5703125" style="264" customWidth="1"/>
    <col min="7730" max="7730" width="12.42578125" style="264" customWidth="1"/>
    <col min="7731" max="7731" width="17" style="264" customWidth="1"/>
    <col min="7732" max="7732" width="14.140625" style="264" customWidth="1"/>
    <col min="7733" max="7733" width="18.7109375" style="264" customWidth="1"/>
    <col min="7734" max="7968" width="9.140625" style="264"/>
    <col min="7969" max="7969" width="9.5703125" style="264" customWidth="1"/>
    <col min="7970" max="7970" width="53.42578125" style="264" bestFit="1" customWidth="1"/>
    <col min="7971" max="7971" width="17.140625" style="264" customWidth="1"/>
    <col min="7972" max="7972" width="13.5703125" style="264" customWidth="1"/>
    <col min="7973" max="7973" width="15.7109375" style="264" customWidth="1"/>
    <col min="7974" max="7974" width="14.7109375" style="264" customWidth="1"/>
    <col min="7975" max="7975" width="16" style="264" customWidth="1"/>
    <col min="7976" max="7976" width="15.42578125" style="264" customWidth="1"/>
    <col min="7977" max="7977" width="12.85546875" style="264" customWidth="1"/>
    <col min="7978" max="7978" width="12.7109375" style="264" customWidth="1"/>
    <col min="7979" max="7979" width="6.28515625" style="264" customWidth="1"/>
    <col min="7980" max="7980" width="11.28515625" style="264" customWidth="1"/>
    <col min="7981" max="7981" width="52.42578125" style="264" customWidth="1"/>
    <col min="7982" max="7982" width="12.28515625" style="264" customWidth="1"/>
    <col min="7983" max="7983" width="13.7109375" style="264" customWidth="1"/>
    <col min="7984" max="7984" width="11" style="264" customWidth="1"/>
    <col min="7985" max="7985" width="12.5703125" style="264" customWidth="1"/>
    <col min="7986" max="7986" width="12.42578125" style="264" customWidth="1"/>
    <col min="7987" max="7987" width="17" style="264" customWidth="1"/>
    <col min="7988" max="7988" width="14.140625" style="264" customWidth="1"/>
    <col min="7989" max="7989" width="18.7109375" style="264" customWidth="1"/>
    <col min="7990" max="8224" width="9.140625" style="264"/>
    <col min="8225" max="8225" width="9.5703125" style="264" customWidth="1"/>
    <col min="8226" max="8226" width="53.42578125" style="264" bestFit="1" customWidth="1"/>
    <col min="8227" max="8227" width="17.140625" style="264" customWidth="1"/>
    <col min="8228" max="8228" width="13.5703125" style="264" customWidth="1"/>
    <col min="8229" max="8229" width="15.7109375" style="264" customWidth="1"/>
    <col min="8230" max="8230" width="14.7109375" style="264" customWidth="1"/>
    <col min="8231" max="8231" width="16" style="264" customWidth="1"/>
    <col min="8232" max="8232" width="15.42578125" style="264" customWidth="1"/>
    <col min="8233" max="8233" width="12.85546875" style="264" customWidth="1"/>
    <col min="8234" max="8234" width="12.7109375" style="264" customWidth="1"/>
    <col min="8235" max="8235" width="6.28515625" style="264" customWidth="1"/>
    <col min="8236" max="8236" width="11.28515625" style="264" customWidth="1"/>
    <col min="8237" max="8237" width="52.42578125" style="264" customWidth="1"/>
    <col min="8238" max="8238" width="12.28515625" style="264" customWidth="1"/>
    <col min="8239" max="8239" width="13.7109375" style="264" customWidth="1"/>
    <col min="8240" max="8240" width="11" style="264" customWidth="1"/>
    <col min="8241" max="8241" width="12.5703125" style="264" customWidth="1"/>
    <col min="8242" max="8242" width="12.42578125" style="264" customWidth="1"/>
    <col min="8243" max="8243" width="17" style="264" customWidth="1"/>
    <col min="8244" max="8244" width="14.140625" style="264" customWidth="1"/>
    <col min="8245" max="8245" width="18.7109375" style="264" customWidth="1"/>
    <col min="8246" max="8480" width="9.140625" style="264"/>
    <col min="8481" max="8481" width="9.5703125" style="264" customWidth="1"/>
    <col min="8482" max="8482" width="53.42578125" style="264" bestFit="1" customWidth="1"/>
    <col min="8483" max="8483" width="17.140625" style="264" customWidth="1"/>
    <col min="8484" max="8484" width="13.5703125" style="264" customWidth="1"/>
    <col min="8485" max="8485" width="15.7109375" style="264" customWidth="1"/>
    <col min="8486" max="8486" width="14.7109375" style="264" customWidth="1"/>
    <col min="8487" max="8487" width="16" style="264" customWidth="1"/>
    <col min="8488" max="8488" width="15.42578125" style="264" customWidth="1"/>
    <col min="8489" max="8489" width="12.85546875" style="264" customWidth="1"/>
    <col min="8490" max="8490" width="12.7109375" style="264" customWidth="1"/>
    <col min="8491" max="8491" width="6.28515625" style="264" customWidth="1"/>
    <col min="8492" max="8492" width="11.28515625" style="264" customWidth="1"/>
    <col min="8493" max="8493" width="52.42578125" style="264" customWidth="1"/>
    <col min="8494" max="8494" width="12.28515625" style="264" customWidth="1"/>
    <col min="8495" max="8495" width="13.7109375" style="264" customWidth="1"/>
    <col min="8496" max="8496" width="11" style="264" customWidth="1"/>
    <col min="8497" max="8497" width="12.5703125" style="264" customWidth="1"/>
    <col min="8498" max="8498" width="12.42578125" style="264" customWidth="1"/>
    <col min="8499" max="8499" width="17" style="264" customWidth="1"/>
    <col min="8500" max="8500" width="14.140625" style="264" customWidth="1"/>
    <col min="8501" max="8501" width="18.7109375" style="264" customWidth="1"/>
    <col min="8502" max="8736" width="9.140625" style="264"/>
    <col min="8737" max="8737" width="9.5703125" style="264" customWidth="1"/>
    <col min="8738" max="8738" width="53.42578125" style="264" bestFit="1" customWidth="1"/>
    <col min="8739" max="8739" width="17.140625" style="264" customWidth="1"/>
    <col min="8740" max="8740" width="13.5703125" style="264" customWidth="1"/>
    <col min="8741" max="8741" width="15.7109375" style="264" customWidth="1"/>
    <col min="8742" max="8742" width="14.7109375" style="264" customWidth="1"/>
    <col min="8743" max="8743" width="16" style="264" customWidth="1"/>
    <col min="8744" max="8744" width="15.42578125" style="264" customWidth="1"/>
    <col min="8745" max="8745" width="12.85546875" style="264" customWidth="1"/>
    <col min="8746" max="8746" width="12.7109375" style="264" customWidth="1"/>
    <col min="8747" max="8747" width="6.28515625" style="264" customWidth="1"/>
    <col min="8748" max="8748" width="11.28515625" style="264" customWidth="1"/>
    <col min="8749" max="8749" width="52.42578125" style="264" customWidth="1"/>
    <col min="8750" max="8750" width="12.28515625" style="264" customWidth="1"/>
    <col min="8751" max="8751" width="13.7109375" style="264" customWidth="1"/>
    <col min="8752" max="8752" width="11" style="264" customWidth="1"/>
    <col min="8753" max="8753" width="12.5703125" style="264" customWidth="1"/>
    <col min="8754" max="8754" width="12.42578125" style="264" customWidth="1"/>
    <col min="8755" max="8755" width="17" style="264" customWidth="1"/>
    <col min="8756" max="8756" width="14.140625" style="264" customWidth="1"/>
    <col min="8757" max="8757" width="18.7109375" style="264" customWidth="1"/>
    <col min="8758" max="8992" width="9.140625" style="264"/>
    <col min="8993" max="8993" width="9.5703125" style="264" customWidth="1"/>
    <col min="8994" max="8994" width="53.42578125" style="264" bestFit="1" customWidth="1"/>
    <col min="8995" max="8995" width="17.140625" style="264" customWidth="1"/>
    <col min="8996" max="8996" width="13.5703125" style="264" customWidth="1"/>
    <col min="8997" max="8997" width="15.7109375" style="264" customWidth="1"/>
    <col min="8998" max="8998" width="14.7109375" style="264" customWidth="1"/>
    <col min="8999" max="8999" width="16" style="264" customWidth="1"/>
    <col min="9000" max="9000" width="15.42578125" style="264" customWidth="1"/>
    <col min="9001" max="9001" width="12.85546875" style="264" customWidth="1"/>
    <col min="9002" max="9002" width="12.7109375" style="264" customWidth="1"/>
    <col min="9003" max="9003" width="6.28515625" style="264" customWidth="1"/>
    <col min="9004" max="9004" width="11.28515625" style="264" customWidth="1"/>
    <col min="9005" max="9005" width="52.42578125" style="264" customWidth="1"/>
    <col min="9006" max="9006" width="12.28515625" style="264" customWidth="1"/>
    <col min="9007" max="9007" width="13.7109375" style="264" customWidth="1"/>
    <col min="9008" max="9008" width="11" style="264" customWidth="1"/>
    <col min="9009" max="9009" width="12.5703125" style="264" customWidth="1"/>
    <col min="9010" max="9010" width="12.42578125" style="264" customWidth="1"/>
    <col min="9011" max="9011" width="17" style="264" customWidth="1"/>
    <col min="9012" max="9012" width="14.140625" style="264" customWidth="1"/>
    <col min="9013" max="9013" width="18.7109375" style="264" customWidth="1"/>
    <col min="9014" max="9248" width="9.140625" style="264"/>
    <col min="9249" max="9249" width="9.5703125" style="264" customWidth="1"/>
    <col min="9250" max="9250" width="53.42578125" style="264" bestFit="1" customWidth="1"/>
    <col min="9251" max="9251" width="17.140625" style="264" customWidth="1"/>
    <col min="9252" max="9252" width="13.5703125" style="264" customWidth="1"/>
    <col min="9253" max="9253" width="15.7109375" style="264" customWidth="1"/>
    <col min="9254" max="9254" width="14.7109375" style="264" customWidth="1"/>
    <col min="9255" max="9255" width="16" style="264" customWidth="1"/>
    <col min="9256" max="9256" width="15.42578125" style="264" customWidth="1"/>
    <col min="9257" max="9257" width="12.85546875" style="264" customWidth="1"/>
    <col min="9258" max="9258" width="12.7109375" style="264" customWidth="1"/>
    <col min="9259" max="9259" width="6.28515625" style="264" customWidth="1"/>
    <col min="9260" max="9260" width="11.28515625" style="264" customWidth="1"/>
    <col min="9261" max="9261" width="52.42578125" style="264" customWidth="1"/>
    <col min="9262" max="9262" width="12.28515625" style="264" customWidth="1"/>
    <col min="9263" max="9263" width="13.7109375" style="264" customWidth="1"/>
    <col min="9264" max="9264" width="11" style="264" customWidth="1"/>
    <col min="9265" max="9265" width="12.5703125" style="264" customWidth="1"/>
    <col min="9266" max="9266" width="12.42578125" style="264" customWidth="1"/>
    <col min="9267" max="9267" width="17" style="264" customWidth="1"/>
    <col min="9268" max="9268" width="14.140625" style="264" customWidth="1"/>
    <col min="9269" max="9269" width="18.7109375" style="264" customWidth="1"/>
    <col min="9270" max="9504" width="9.140625" style="264"/>
    <col min="9505" max="9505" width="9.5703125" style="264" customWidth="1"/>
    <col min="9506" max="9506" width="53.42578125" style="264" bestFit="1" customWidth="1"/>
    <col min="9507" max="9507" width="17.140625" style="264" customWidth="1"/>
    <col min="9508" max="9508" width="13.5703125" style="264" customWidth="1"/>
    <col min="9509" max="9509" width="15.7109375" style="264" customWidth="1"/>
    <col min="9510" max="9510" width="14.7109375" style="264" customWidth="1"/>
    <col min="9511" max="9511" width="16" style="264" customWidth="1"/>
    <col min="9512" max="9512" width="15.42578125" style="264" customWidth="1"/>
    <col min="9513" max="9513" width="12.85546875" style="264" customWidth="1"/>
    <col min="9514" max="9514" width="12.7109375" style="264" customWidth="1"/>
    <col min="9515" max="9515" width="6.28515625" style="264" customWidth="1"/>
    <col min="9516" max="9516" width="11.28515625" style="264" customWidth="1"/>
    <col min="9517" max="9517" width="52.42578125" style="264" customWidth="1"/>
    <col min="9518" max="9518" width="12.28515625" style="264" customWidth="1"/>
    <col min="9519" max="9519" width="13.7109375" style="264" customWidth="1"/>
    <col min="9520" max="9520" width="11" style="264" customWidth="1"/>
    <col min="9521" max="9521" width="12.5703125" style="264" customWidth="1"/>
    <col min="9522" max="9522" width="12.42578125" style="264" customWidth="1"/>
    <col min="9523" max="9523" width="17" style="264" customWidth="1"/>
    <col min="9524" max="9524" width="14.140625" style="264" customWidth="1"/>
    <col min="9525" max="9525" width="18.7109375" style="264" customWidth="1"/>
    <col min="9526" max="9760" width="9.140625" style="264"/>
    <col min="9761" max="9761" width="9.5703125" style="264" customWidth="1"/>
    <col min="9762" max="9762" width="53.42578125" style="264" bestFit="1" customWidth="1"/>
    <col min="9763" max="9763" width="17.140625" style="264" customWidth="1"/>
    <col min="9764" max="9764" width="13.5703125" style="264" customWidth="1"/>
    <col min="9765" max="9765" width="15.7109375" style="264" customWidth="1"/>
    <col min="9766" max="9766" width="14.7109375" style="264" customWidth="1"/>
    <col min="9767" max="9767" width="16" style="264" customWidth="1"/>
    <col min="9768" max="9768" width="15.42578125" style="264" customWidth="1"/>
    <col min="9769" max="9769" width="12.85546875" style="264" customWidth="1"/>
    <col min="9770" max="9770" width="12.7109375" style="264" customWidth="1"/>
    <col min="9771" max="9771" width="6.28515625" style="264" customWidth="1"/>
    <col min="9772" max="9772" width="11.28515625" style="264" customWidth="1"/>
    <col min="9773" max="9773" width="52.42578125" style="264" customWidth="1"/>
    <col min="9774" max="9774" width="12.28515625" style="264" customWidth="1"/>
    <col min="9775" max="9775" width="13.7109375" style="264" customWidth="1"/>
    <col min="9776" max="9776" width="11" style="264" customWidth="1"/>
    <col min="9777" max="9777" width="12.5703125" style="264" customWidth="1"/>
    <col min="9778" max="9778" width="12.42578125" style="264" customWidth="1"/>
    <col min="9779" max="9779" width="17" style="264" customWidth="1"/>
    <col min="9780" max="9780" width="14.140625" style="264" customWidth="1"/>
    <col min="9781" max="9781" width="18.7109375" style="264" customWidth="1"/>
    <col min="9782" max="10016" width="9.140625" style="264"/>
    <col min="10017" max="10017" width="9.5703125" style="264" customWidth="1"/>
    <col min="10018" max="10018" width="53.42578125" style="264" bestFit="1" customWidth="1"/>
    <col min="10019" max="10019" width="17.140625" style="264" customWidth="1"/>
    <col min="10020" max="10020" width="13.5703125" style="264" customWidth="1"/>
    <col min="10021" max="10021" width="15.7109375" style="264" customWidth="1"/>
    <col min="10022" max="10022" width="14.7109375" style="264" customWidth="1"/>
    <col min="10023" max="10023" width="16" style="264" customWidth="1"/>
    <col min="10024" max="10024" width="15.42578125" style="264" customWidth="1"/>
    <col min="10025" max="10025" width="12.85546875" style="264" customWidth="1"/>
    <col min="10026" max="10026" width="12.7109375" style="264" customWidth="1"/>
    <col min="10027" max="10027" width="6.28515625" style="264" customWidth="1"/>
    <col min="10028" max="10028" width="11.28515625" style="264" customWidth="1"/>
    <col min="10029" max="10029" width="52.42578125" style="264" customWidth="1"/>
    <col min="10030" max="10030" width="12.28515625" style="264" customWidth="1"/>
    <col min="10031" max="10031" width="13.7109375" style="264" customWidth="1"/>
    <col min="10032" max="10032" width="11" style="264" customWidth="1"/>
    <col min="10033" max="10033" width="12.5703125" style="264" customWidth="1"/>
    <col min="10034" max="10034" width="12.42578125" style="264" customWidth="1"/>
    <col min="10035" max="10035" width="17" style="264" customWidth="1"/>
    <col min="10036" max="10036" width="14.140625" style="264" customWidth="1"/>
    <col min="10037" max="10037" width="18.7109375" style="264" customWidth="1"/>
    <col min="10038" max="10272" width="9.140625" style="264"/>
    <col min="10273" max="10273" width="9.5703125" style="264" customWidth="1"/>
    <col min="10274" max="10274" width="53.42578125" style="264" bestFit="1" customWidth="1"/>
    <col min="10275" max="10275" width="17.140625" style="264" customWidth="1"/>
    <col min="10276" max="10276" width="13.5703125" style="264" customWidth="1"/>
    <col min="10277" max="10277" width="15.7109375" style="264" customWidth="1"/>
    <col min="10278" max="10278" width="14.7109375" style="264" customWidth="1"/>
    <col min="10279" max="10279" width="16" style="264" customWidth="1"/>
    <col min="10280" max="10280" width="15.42578125" style="264" customWidth="1"/>
    <col min="10281" max="10281" width="12.85546875" style="264" customWidth="1"/>
    <col min="10282" max="10282" width="12.7109375" style="264" customWidth="1"/>
    <col min="10283" max="10283" width="6.28515625" style="264" customWidth="1"/>
    <col min="10284" max="10284" width="11.28515625" style="264" customWidth="1"/>
    <col min="10285" max="10285" width="52.42578125" style="264" customWidth="1"/>
    <col min="10286" max="10286" width="12.28515625" style="264" customWidth="1"/>
    <col min="10287" max="10287" width="13.7109375" style="264" customWidth="1"/>
    <col min="10288" max="10288" width="11" style="264" customWidth="1"/>
    <col min="10289" max="10289" width="12.5703125" style="264" customWidth="1"/>
    <col min="10290" max="10290" width="12.42578125" style="264" customWidth="1"/>
    <col min="10291" max="10291" width="17" style="264" customWidth="1"/>
    <col min="10292" max="10292" width="14.140625" style="264" customWidth="1"/>
    <col min="10293" max="10293" width="18.7109375" style="264" customWidth="1"/>
    <col min="10294" max="10528" width="9.140625" style="264"/>
    <col min="10529" max="10529" width="9.5703125" style="264" customWidth="1"/>
    <col min="10530" max="10530" width="53.42578125" style="264" bestFit="1" customWidth="1"/>
    <col min="10531" max="10531" width="17.140625" style="264" customWidth="1"/>
    <col min="10532" max="10532" width="13.5703125" style="264" customWidth="1"/>
    <col min="10533" max="10533" width="15.7109375" style="264" customWidth="1"/>
    <col min="10534" max="10534" width="14.7109375" style="264" customWidth="1"/>
    <col min="10535" max="10535" width="16" style="264" customWidth="1"/>
    <col min="10536" max="10536" width="15.42578125" style="264" customWidth="1"/>
    <col min="10537" max="10537" width="12.85546875" style="264" customWidth="1"/>
    <col min="10538" max="10538" width="12.7109375" style="264" customWidth="1"/>
    <col min="10539" max="10539" width="6.28515625" style="264" customWidth="1"/>
    <col min="10540" max="10540" width="11.28515625" style="264" customWidth="1"/>
    <col min="10541" max="10541" width="52.42578125" style="264" customWidth="1"/>
    <col min="10542" max="10542" width="12.28515625" style="264" customWidth="1"/>
    <col min="10543" max="10543" width="13.7109375" style="264" customWidth="1"/>
    <col min="10544" max="10544" width="11" style="264" customWidth="1"/>
    <col min="10545" max="10545" width="12.5703125" style="264" customWidth="1"/>
    <col min="10546" max="10546" width="12.42578125" style="264" customWidth="1"/>
    <col min="10547" max="10547" width="17" style="264" customWidth="1"/>
    <col min="10548" max="10548" width="14.140625" style="264" customWidth="1"/>
    <col min="10549" max="10549" width="18.7109375" style="264" customWidth="1"/>
    <col min="10550" max="10784" width="9.140625" style="264"/>
    <col min="10785" max="10785" width="9.5703125" style="264" customWidth="1"/>
    <col min="10786" max="10786" width="53.42578125" style="264" bestFit="1" customWidth="1"/>
    <col min="10787" max="10787" width="17.140625" style="264" customWidth="1"/>
    <col min="10788" max="10788" width="13.5703125" style="264" customWidth="1"/>
    <col min="10789" max="10789" width="15.7109375" style="264" customWidth="1"/>
    <col min="10790" max="10790" width="14.7109375" style="264" customWidth="1"/>
    <col min="10791" max="10791" width="16" style="264" customWidth="1"/>
    <col min="10792" max="10792" width="15.42578125" style="264" customWidth="1"/>
    <col min="10793" max="10793" width="12.85546875" style="264" customWidth="1"/>
    <col min="10794" max="10794" width="12.7109375" style="264" customWidth="1"/>
    <col min="10795" max="10795" width="6.28515625" style="264" customWidth="1"/>
    <col min="10796" max="10796" width="11.28515625" style="264" customWidth="1"/>
    <col min="10797" max="10797" width="52.42578125" style="264" customWidth="1"/>
    <col min="10798" max="10798" width="12.28515625" style="264" customWidth="1"/>
    <col min="10799" max="10799" width="13.7109375" style="264" customWidth="1"/>
    <col min="10800" max="10800" width="11" style="264" customWidth="1"/>
    <col min="10801" max="10801" width="12.5703125" style="264" customWidth="1"/>
    <col min="10802" max="10802" width="12.42578125" style="264" customWidth="1"/>
    <col min="10803" max="10803" width="17" style="264" customWidth="1"/>
    <col min="10804" max="10804" width="14.140625" style="264" customWidth="1"/>
    <col min="10805" max="10805" width="18.7109375" style="264" customWidth="1"/>
    <col min="10806" max="11040" width="9.140625" style="264"/>
    <col min="11041" max="11041" width="9.5703125" style="264" customWidth="1"/>
    <col min="11042" max="11042" width="53.42578125" style="264" bestFit="1" customWidth="1"/>
    <col min="11043" max="11043" width="17.140625" style="264" customWidth="1"/>
    <col min="11044" max="11044" width="13.5703125" style="264" customWidth="1"/>
    <col min="11045" max="11045" width="15.7109375" style="264" customWidth="1"/>
    <col min="11046" max="11046" width="14.7109375" style="264" customWidth="1"/>
    <col min="11047" max="11047" width="16" style="264" customWidth="1"/>
    <col min="11048" max="11048" width="15.42578125" style="264" customWidth="1"/>
    <col min="11049" max="11049" width="12.85546875" style="264" customWidth="1"/>
    <col min="11050" max="11050" width="12.7109375" style="264" customWidth="1"/>
    <col min="11051" max="11051" width="6.28515625" style="264" customWidth="1"/>
    <col min="11052" max="11052" width="11.28515625" style="264" customWidth="1"/>
    <col min="11053" max="11053" width="52.42578125" style="264" customWidth="1"/>
    <col min="11054" max="11054" width="12.28515625" style="264" customWidth="1"/>
    <col min="11055" max="11055" width="13.7109375" style="264" customWidth="1"/>
    <col min="11056" max="11056" width="11" style="264" customWidth="1"/>
    <col min="11057" max="11057" width="12.5703125" style="264" customWidth="1"/>
    <col min="11058" max="11058" width="12.42578125" style="264" customWidth="1"/>
    <col min="11059" max="11059" width="17" style="264" customWidth="1"/>
    <col min="11060" max="11060" width="14.140625" style="264" customWidth="1"/>
    <col min="11061" max="11061" width="18.7109375" style="264" customWidth="1"/>
    <col min="11062" max="11296" width="9.140625" style="264"/>
    <col min="11297" max="11297" width="9.5703125" style="264" customWidth="1"/>
    <col min="11298" max="11298" width="53.42578125" style="264" bestFit="1" customWidth="1"/>
    <col min="11299" max="11299" width="17.140625" style="264" customWidth="1"/>
    <col min="11300" max="11300" width="13.5703125" style="264" customWidth="1"/>
    <col min="11301" max="11301" width="15.7109375" style="264" customWidth="1"/>
    <col min="11302" max="11302" width="14.7109375" style="264" customWidth="1"/>
    <col min="11303" max="11303" width="16" style="264" customWidth="1"/>
    <col min="11304" max="11304" width="15.42578125" style="264" customWidth="1"/>
    <col min="11305" max="11305" width="12.85546875" style="264" customWidth="1"/>
    <col min="11306" max="11306" width="12.7109375" style="264" customWidth="1"/>
    <col min="11307" max="11307" width="6.28515625" style="264" customWidth="1"/>
    <col min="11308" max="11308" width="11.28515625" style="264" customWidth="1"/>
    <col min="11309" max="11309" width="52.42578125" style="264" customWidth="1"/>
    <col min="11310" max="11310" width="12.28515625" style="264" customWidth="1"/>
    <col min="11311" max="11311" width="13.7109375" style="264" customWidth="1"/>
    <col min="11312" max="11312" width="11" style="264" customWidth="1"/>
    <col min="11313" max="11313" width="12.5703125" style="264" customWidth="1"/>
    <col min="11314" max="11314" width="12.42578125" style="264" customWidth="1"/>
    <col min="11315" max="11315" width="17" style="264" customWidth="1"/>
    <col min="11316" max="11316" width="14.140625" style="264" customWidth="1"/>
    <col min="11317" max="11317" width="18.7109375" style="264" customWidth="1"/>
    <col min="11318" max="11552" width="9.140625" style="264"/>
    <col min="11553" max="11553" width="9.5703125" style="264" customWidth="1"/>
    <col min="11554" max="11554" width="53.42578125" style="264" bestFit="1" customWidth="1"/>
    <col min="11555" max="11555" width="17.140625" style="264" customWidth="1"/>
    <col min="11556" max="11556" width="13.5703125" style="264" customWidth="1"/>
    <col min="11557" max="11557" width="15.7109375" style="264" customWidth="1"/>
    <col min="11558" max="11558" width="14.7109375" style="264" customWidth="1"/>
    <col min="11559" max="11559" width="16" style="264" customWidth="1"/>
    <col min="11560" max="11560" width="15.42578125" style="264" customWidth="1"/>
    <col min="11561" max="11561" width="12.85546875" style="264" customWidth="1"/>
    <col min="11562" max="11562" width="12.7109375" style="264" customWidth="1"/>
    <col min="11563" max="11563" width="6.28515625" style="264" customWidth="1"/>
    <col min="11564" max="11564" width="11.28515625" style="264" customWidth="1"/>
    <col min="11565" max="11565" width="52.42578125" style="264" customWidth="1"/>
    <col min="11566" max="11566" width="12.28515625" style="264" customWidth="1"/>
    <col min="11567" max="11567" width="13.7109375" style="264" customWidth="1"/>
    <col min="11568" max="11568" width="11" style="264" customWidth="1"/>
    <col min="11569" max="11569" width="12.5703125" style="264" customWidth="1"/>
    <col min="11570" max="11570" width="12.42578125" style="264" customWidth="1"/>
    <col min="11571" max="11571" width="17" style="264" customWidth="1"/>
    <col min="11572" max="11572" width="14.140625" style="264" customWidth="1"/>
    <col min="11573" max="11573" width="18.7109375" style="264" customWidth="1"/>
    <col min="11574" max="11808" width="9.140625" style="264"/>
    <col min="11809" max="11809" width="9.5703125" style="264" customWidth="1"/>
    <col min="11810" max="11810" width="53.42578125" style="264" bestFit="1" customWidth="1"/>
    <col min="11811" max="11811" width="17.140625" style="264" customWidth="1"/>
    <col min="11812" max="11812" width="13.5703125" style="264" customWidth="1"/>
    <col min="11813" max="11813" width="15.7109375" style="264" customWidth="1"/>
    <col min="11814" max="11814" width="14.7109375" style="264" customWidth="1"/>
    <col min="11815" max="11815" width="16" style="264" customWidth="1"/>
    <col min="11816" max="11816" width="15.42578125" style="264" customWidth="1"/>
    <col min="11817" max="11817" width="12.85546875" style="264" customWidth="1"/>
    <col min="11818" max="11818" width="12.7109375" style="264" customWidth="1"/>
    <col min="11819" max="11819" width="6.28515625" style="264" customWidth="1"/>
    <col min="11820" max="11820" width="11.28515625" style="264" customWidth="1"/>
    <col min="11821" max="11821" width="52.42578125" style="264" customWidth="1"/>
    <col min="11822" max="11822" width="12.28515625" style="264" customWidth="1"/>
    <col min="11823" max="11823" width="13.7109375" style="264" customWidth="1"/>
    <col min="11824" max="11824" width="11" style="264" customWidth="1"/>
    <col min="11825" max="11825" width="12.5703125" style="264" customWidth="1"/>
    <col min="11826" max="11826" width="12.42578125" style="264" customWidth="1"/>
    <col min="11827" max="11827" width="17" style="264" customWidth="1"/>
    <col min="11828" max="11828" width="14.140625" style="264" customWidth="1"/>
    <col min="11829" max="11829" width="18.7109375" style="264" customWidth="1"/>
    <col min="11830" max="12064" width="9.140625" style="264"/>
    <col min="12065" max="12065" width="9.5703125" style="264" customWidth="1"/>
    <col min="12066" max="12066" width="53.42578125" style="264" bestFit="1" customWidth="1"/>
    <col min="12067" max="12067" width="17.140625" style="264" customWidth="1"/>
    <col min="12068" max="12068" width="13.5703125" style="264" customWidth="1"/>
    <col min="12069" max="12069" width="15.7109375" style="264" customWidth="1"/>
    <col min="12070" max="12070" width="14.7109375" style="264" customWidth="1"/>
    <col min="12071" max="12071" width="16" style="264" customWidth="1"/>
    <col min="12072" max="12072" width="15.42578125" style="264" customWidth="1"/>
    <col min="12073" max="12073" width="12.85546875" style="264" customWidth="1"/>
    <col min="12074" max="12074" width="12.7109375" style="264" customWidth="1"/>
    <col min="12075" max="12075" width="6.28515625" style="264" customWidth="1"/>
    <col min="12076" max="12076" width="11.28515625" style="264" customWidth="1"/>
    <col min="12077" max="12077" width="52.42578125" style="264" customWidth="1"/>
    <col min="12078" max="12078" width="12.28515625" style="264" customWidth="1"/>
    <col min="12079" max="12079" width="13.7109375" style="264" customWidth="1"/>
    <col min="12080" max="12080" width="11" style="264" customWidth="1"/>
    <col min="12081" max="12081" width="12.5703125" style="264" customWidth="1"/>
    <col min="12082" max="12082" width="12.42578125" style="264" customWidth="1"/>
    <col min="12083" max="12083" width="17" style="264" customWidth="1"/>
    <col min="12084" max="12084" width="14.140625" style="264" customWidth="1"/>
    <col min="12085" max="12085" width="18.7109375" style="264" customWidth="1"/>
    <col min="12086" max="12320" width="9.140625" style="264"/>
    <col min="12321" max="12321" width="9.5703125" style="264" customWidth="1"/>
    <col min="12322" max="12322" width="53.42578125" style="264" bestFit="1" customWidth="1"/>
    <col min="12323" max="12323" width="17.140625" style="264" customWidth="1"/>
    <col min="12324" max="12324" width="13.5703125" style="264" customWidth="1"/>
    <col min="12325" max="12325" width="15.7109375" style="264" customWidth="1"/>
    <col min="12326" max="12326" width="14.7109375" style="264" customWidth="1"/>
    <col min="12327" max="12327" width="16" style="264" customWidth="1"/>
    <col min="12328" max="12328" width="15.42578125" style="264" customWidth="1"/>
    <col min="12329" max="12329" width="12.85546875" style="264" customWidth="1"/>
    <col min="12330" max="12330" width="12.7109375" style="264" customWidth="1"/>
    <col min="12331" max="12331" width="6.28515625" style="264" customWidth="1"/>
    <col min="12332" max="12332" width="11.28515625" style="264" customWidth="1"/>
    <col min="12333" max="12333" width="52.42578125" style="264" customWidth="1"/>
    <col min="12334" max="12334" width="12.28515625" style="264" customWidth="1"/>
    <col min="12335" max="12335" width="13.7109375" style="264" customWidth="1"/>
    <col min="12336" max="12336" width="11" style="264" customWidth="1"/>
    <col min="12337" max="12337" width="12.5703125" style="264" customWidth="1"/>
    <col min="12338" max="12338" width="12.42578125" style="264" customWidth="1"/>
    <col min="12339" max="12339" width="17" style="264" customWidth="1"/>
    <col min="12340" max="12340" width="14.140625" style="264" customWidth="1"/>
    <col min="12341" max="12341" width="18.7109375" style="264" customWidth="1"/>
    <col min="12342" max="12576" width="9.140625" style="264"/>
    <col min="12577" max="12577" width="9.5703125" style="264" customWidth="1"/>
    <col min="12578" max="12578" width="53.42578125" style="264" bestFit="1" customWidth="1"/>
    <col min="12579" max="12579" width="17.140625" style="264" customWidth="1"/>
    <col min="12580" max="12580" width="13.5703125" style="264" customWidth="1"/>
    <col min="12581" max="12581" width="15.7109375" style="264" customWidth="1"/>
    <col min="12582" max="12582" width="14.7109375" style="264" customWidth="1"/>
    <col min="12583" max="12583" width="16" style="264" customWidth="1"/>
    <col min="12584" max="12584" width="15.42578125" style="264" customWidth="1"/>
    <col min="12585" max="12585" width="12.85546875" style="264" customWidth="1"/>
    <col min="12586" max="12586" width="12.7109375" style="264" customWidth="1"/>
    <col min="12587" max="12587" width="6.28515625" style="264" customWidth="1"/>
    <col min="12588" max="12588" width="11.28515625" style="264" customWidth="1"/>
    <col min="12589" max="12589" width="52.42578125" style="264" customWidth="1"/>
    <col min="12590" max="12590" width="12.28515625" style="264" customWidth="1"/>
    <col min="12591" max="12591" width="13.7109375" style="264" customWidth="1"/>
    <col min="12592" max="12592" width="11" style="264" customWidth="1"/>
    <col min="12593" max="12593" width="12.5703125" style="264" customWidth="1"/>
    <col min="12594" max="12594" width="12.42578125" style="264" customWidth="1"/>
    <col min="12595" max="12595" width="17" style="264" customWidth="1"/>
    <col min="12596" max="12596" width="14.140625" style="264" customWidth="1"/>
    <col min="12597" max="12597" width="18.7109375" style="264" customWidth="1"/>
    <col min="12598" max="12832" width="9.140625" style="264"/>
    <col min="12833" max="12833" width="9.5703125" style="264" customWidth="1"/>
    <col min="12834" max="12834" width="53.42578125" style="264" bestFit="1" customWidth="1"/>
    <col min="12835" max="12835" width="17.140625" style="264" customWidth="1"/>
    <col min="12836" max="12836" width="13.5703125" style="264" customWidth="1"/>
    <col min="12837" max="12837" width="15.7109375" style="264" customWidth="1"/>
    <col min="12838" max="12838" width="14.7109375" style="264" customWidth="1"/>
    <col min="12839" max="12839" width="16" style="264" customWidth="1"/>
    <col min="12840" max="12840" width="15.42578125" style="264" customWidth="1"/>
    <col min="12841" max="12841" width="12.85546875" style="264" customWidth="1"/>
    <col min="12842" max="12842" width="12.7109375" style="264" customWidth="1"/>
    <col min="12843" max="12843" width="6.28515625" style="264" customWidth="1"/>
    <col min="12844" max="12844" width="11.28515625" style="264" customWidth="1"/>
    <col min="12845" max="12845" width="52.42578125" style="264" customWidth="1"/>
    <col min="12846" max="12846" width="12.28515625" style="264" customWidth="1"/>
    <col min="12847" max="12847" width="13.7109375" style="264" customWidth="1"/>
    <col min="12848" max="12848" width="11" style="264" customWidth="1"/>
    <col min="12849" max="12849" width="12.5703125" style="264" customWidth="1"/>
    <col min="12850" max="12850" width="12.42578125" style="264" customWidth="1"/>
    <col min="12851" max="12851" width="17" style="264" customWidth="1"/>
    <col min="12852" max="12852" width="14.140625" style="264" customWidth="1"/>
    <col min="12853" max="12853" width="18.7109375" style="264" customWidth="1"/>
    <col min="12854" max="13088" width="9.140625" style="264"/>
    <col min="13089" max="13089" width="9.5703125" style="264" customWidth="1"/>
    <col min="13090" max="13090" width="53.42578125" style="264" bestFit="1" customWidth="1"/>
    <col min="13091" max="13091" width="17.140625" style="264" customWidth="1"/>
    <col min="13092" max="13092" width="13.5703125" style="264" customWidth="1"/>
    <col min="13093" max="13093" width="15.7109375" style="264" customWidth="1"/>
    <col min="13094" max="13094" width="14.7109375" style="264" customWidth="1"/>
    <col min="13095" max="13095" width="16" style="264" customWidth="1"/>
    <col min="13096" max="13096" width="15.42578125" style="264" customWidth="1"/>
    <col min="13097" max="13097" width="12.85546875" style="264" customWidth="1"/>
    <col min="13098" max="13098" width="12.7109375" style="264" customWidth="1"/>
    <col min="13099" max="13099" width="6.28515625" style="264" customWidth="1"/>
    <col min="13100" max="13100" width="11.28515625" style="264" customWidth="1"/>
    <col min="13101" max="13101" width="52.42578125" style="264" customWidth="1"/>
    <col min="13102" max="13102" width="12.28515625" style="264" customWidth="1"/>
    <col min="13103" max="13103" width="13.7109375" style="264" customWidth="1"/>
    <col min="13104" max="13104" width="11" style="264" customWidth="1"/>
    <col min="13105" max="13105" width="12.5703125" style="264" customWidth="1"/>
    <col min="13106" max="13106" width="12.42578125" style="264" customWidth="1"/>
    <col min="13107" max="13107" width="17" style="264" customWidth="1"/>
    <col min="13108" max="13108" width="14.140625" style="264" customWidth="1"/>
    <col min="13109" max="13109" width="18.7109375" style="264" customWidth="1"/>
    <col min="13110" max="13344" width="9.140625" style="264"/>
    <col min="13345" max="13345" width="9.5703125" style="264" customWidth="1"/>
    <col min="13346" max="13346" width="53.42578125" style="264" bestFit="1" customWidth="1"/>
    <col min="13347" max="13347" width="17.140625" style="264" customWidth="1"/>
    <col min="13348" max="13348" width="13.5703125" style="264" customWidth="1"/>
    <col min="13349" max="13349" width="15.7109375" style="264" customWidth="1"/>
    <col min="13350" max="13350" width="14.7109375" style="264" customWidth="1"/>
    <col min="13351" max="13351" width="16" style="264" customWidth="1"/>
    <col min="13352" max="13352" width="15.42578125" style="264" customWidth="1"/>
    <col min="13353" max="13353" width="12.85546875" style="264" customWidth="1"/>
    <col min="13354" max="13354" width="12.7109375" style="264" customWidth="1"/>
    <col min="13355" max="13355" width="6.28515625" style="264" customWidth="1"/>
    <col min="13356" max="13356" width="11.28515625" style="264" customWidth="1"/>
    <col min="13357" max="13357" width="52.42578125" style="264" customWidth="1"/>
    <col min="13358" max="13358" width="12.28515625" style="264" customWidth="1"/>
    <col min="13359" max="13359" width="13.7109375" style="264" customWidth="1"/>
    <col min="13360" max="13360" width="11" style="264" customWidth="1"/>
    <col min="13361" max="13361" width="12.5703125" style="264" customWidth="1"/>
    <col min="13362" max="13362" width="12.42578125" style="264" customWidth="1"/>
    <col min="13363" max="13363" width="17" style="264" customWidth="1"/>
    <col min="13364" max="13364" width="14.140625" style="264" customWidth="1"/>
    <col min="13365" max="13365" width="18.7109375" style="264" customWidth="1"/>
    <col min="13366" max="13600" width="9.140625" style="264"/>
    <col min="13601" max="13601" width="9.5703125" style="264" customWidth="1"/>
    <col min="13602" max="13602" width="53.42578125" style="264" bestFit="1" customWidth="1"/>
    <col min="13603" max="13603" width="17.140625" style="264" customWidth="1"/>
    <col min="13604" max="13604" width="13.5703125" style="264" customWidth="1"/>
    <col min="13605" max="13605" width="15.7109375" style="264" customWidth="1"/>
    <col min="13606" max="13606" width="14.7109375" style="264" customWidth="1"/>
    <col min="13607" max="13607" width="16" style="264" customWidth="1"/>
    <col min="13608" max="13608" width="15.42578125" style="264" customWidth="1"/>
    <col min="13609" max="13609" width="12.85546875" style="264" customWidth="1"/>
    <col min="13610" max="13610" width="12.7109375" style="264" customWidth="1"/>
    <col min="13611" max="13611" width="6.28515625" style="264" customWidth="1"/>
    <col min="13612" max="13612" width="11.28515625" style="264" customWidth="1"/>
    <col min="13613" max="13613" width="52.42578125" style="264" customWidth="1"/>
    <col min="13614" max="13614" width="12.28515625" style="264" customWidth="1"/>
    <col min="13615" max="13615" width="13.7109375" style="264" customWidth="1"/>
    <col min="13616" max="13616" width="11" style="264" customWidth="1"/>
    <col min="13617" max="13617" width="12.5703125" style="264" customWidth="1"/>
    <col min="13618" max="13618" width="12.42578125" style="264" customWidth="1"/>
    <col min="13619" max="13619" width="17" style="264" customWidth="1"/>
    <col min="13620" max="13620" width="14.140625" style="264" customWidth="1"/>
    <col min="13621" max="13621" width="18.7109375" style="264" customWidth="1"/>
    <col min="13622" max="13856" width="9.140625" style="264"/>
    <col min="13857" max="13857" width="9.5703125" style="264" customWidth="1"/>
    <col min="13858" max="13858" width="53.42578125" style="264" bestFit="1" customWidth="1"/>
    <col min="13859" max="13859" width="17.140625" style="264" customWidth="1"/>
    <col min="13860" max="13860" width="13.5703125" style="264" customWidth="1"/>
    <col min="13861" max="13861" width="15.7109375" style="264" customWidth="1"/>
    <col min="13862" max="13862" width="14.7109375" style="264" customWidth="1"/>
    <col min="13863" max="13863" width="16" style="264" customWidth="1"/>
    <col min="13864" max="13864" width="15.42578125" style="264" customWidth="1"/>
    <col min="13865" max="13865" width="12.85546875" style="264" customWidth="1"/>
    <col min="13866" max="13866" width="12.7109375" style="264" customWidth="1"/>
    <col min="13867" max="13867" width="6.28515625" style="264" customWidth="1"/>
    <col min="13868" max="13868" width="11.28515625" style="264" customWidth="1"/>
    <col min="13869" max="13869" width="52.42578125" style="264" customWidth="1"/>
    <col min="13870" max="13870" width="12.28515625" style="264" customWidth="1"/>
    <col min="13871" max="13871" width="13.7109375" style="264" customWidth="1"/>
    <col min="13872" max="13872" width="11" style="264" customWidth="1"/>
    <col min="13873" max="13873" width="12.5703125" style="264" customWidth="1"/>
    <col min="13874" max="13874" width="12.42578125" style="264" customWidth="1"/>
    <col min="13875" max="13875" width="17" style="264" customWidth="1"/>
    <col min="13876" max="13876" width="14.140625" style="264" customWidth="1"/>
    <col min="13877" max="13877" width="18.7109375" style="264" customWidth="1"/>
    <col min="13878" max="14112" width="9.140625" style="264"/>
    <col min="14113" max="14113" width="9.5703125" style="264" customWidth="1"/>
    <col min="14114" max="14114" width="53.42578125" style="264" bestFit="1" customWidth="1"/>
    <col min="14115" max="14115" width="17.140625" style="264" customWidth="1"/>
    <col min="14116" max="14116" width="13.5703125" style="264" customWidth="1"/>
    <col min="14117" max="14117" width="15.7109375" style="264" customWidth="1"/>
    <col min="14118" max="14118" width="14.7109375" style="264" customWidth="1"/>
    <col min="14119" max="14119" width="16" style="264" customWidth="1"/>
    <col min="14120" max="14120" width="15.42578125" style="264" customWidth="1"/>
    <col min="14121" max="14121" width="12.85546875" style="264" customWidth="1"/>
    <col min="14122" max="14122" width="12.7109375" style="264" customWidth="1"/>
    <col min="14123" max="14123" width="6.28515625" style="264" customWidth="1"/>
    <col min="14124" max="14124" width="11.28515625" style="264" customWidth="1"/>
    <col min="14125" max="14125" width="52.42578125" style="264" customWidth="1"/>
    <col min="14126" max="14126" width="12.28515625" style="264" customWidth="1"/>
    <col min="14127" max="14127" width="13.7109375" style="264" customWidth="1"/>
    <col min="14128" max="14128" width="11" style="264" customWidth="1"/>
    <col min="14129" max="14129" width="12.5703125" style="264" customWidth="1"/>
    <col min="14130" max="14130" width="12.42578125" style="264" customWidth="1"/>
    <col min="14131" max="14131" width="17" style="264" customWidth="1"/>
    <col min="14132" max="14132" width="14.140625" style="264" customWidth="1"/>
    <col min="14133" max="14133" width="18.7109375" style="264" customWidth="1"/>
    <col min="14134" max="14368" width="9.140625" style="264"/>
    <col min="14369" max="14369" width="9.5703125" style="264" customWidth="1"/>
    <col min="14370" max="14370" width="53.42578125" style="264" bestFit="1" customWidth="1"/>
    <col min="14371" max="14371" width="17.140625" style="264" customWidth="1"/>
    <col min="14372" max="14372" width="13.5703125" style="264" customWidth="1"/>
    <col min="14373" max="14373" width="15.7109375" style="264" customWidth="1"/>
    <col min="14374" max="14374" width="14.7109375" style="264" customWidth="1"/>
    <col min="14375" max="14375" width="16" style="264" customWidth="1"/>
    <col min="14376" max="14376" width="15.42578125" style="264" customWidth="1"/>
    <col min="14377" max="14377" width="12.85546875" style="264" customWidth="1"/>
    <col min="14378" max="14378" width="12.7109375" style="264" customWidth="1"/>
    <col min="14379" max="14379" width="6.28515625" style="264" customWidth="1"/>
    <col min="14380" max="14380" width="11.28515625" style="264" customWidth="1"/>
    <col min="14381" max="14381" width="52.42578125" style="264" customWidth="1"/>
    <col min="14382" max="14382" width="12.28515625" style="264" customWidth="1"/>
    <col min="14383" max="14383" width="13.7109375" style="264" customWidth="1"/>
    <col min="14384" max="14384" width="11" style="264" customWidth="1"/>
    <col min="14385" max="14385" width="12.5703125" style="264" customWidth="1"/>
    <col min="14386" max="14386" width="12.42578125" style="264" customWidth="1"/>
    <col min="14387" max="14387" width="17" style="264" customWidth="1"/>
    <col min="14388" max="14388" width="14.140625" style="264" customWidth="1"/>
    <col min="14389" max="14389" width="18.7109375" style="264" customWidth="1"/>
    <col min="14390" max="14624" width="9.140625" style="264"/>
    <col min="14625" max="14625" width="9.5703125" style="264" customWidth="1"/>
    <col min="14626" max="14626" width="53.42578125" style="264" bestFit="1" customWidth="1"/>
    <col min="14627" max="14627" width="17.140625" style="264" customWidth="1"/>
    <col min="14628" max="14628" width="13.5703125" style="264" customWidth="1"/>
    <col min="14629" max="14629" width="15.7109375" style="264" customWidth="1"/>
    <col min="14630" max="14630" width="14.7109375" style="264" customWidth="1"/>
    <col min="14631" max="14631" width="16" style="264" customWidth="1"/>
    <col min="14632" max="14632" width="15.42578125" style="264" customWidth="1"/>
    <col min="14633" max="14633" width="12.85546875" style="264" customWidth="1"/>
    <col min="14634" max="14634" width="12.7109375" style="264" customWidth="1"/>
    <col min="14635" max="14635" width="6.28515625" style="264" customWidth="1"/>
    <col min="14636" max="14636" width="11.28515625" style="264" customWidth="1"/>
    <col min="14637" max="14637" width="52.42578125" style="264" customWidth="1"/>
    <col min="14638" max="14638" width="12.28515625" style="264" customWidth="1"/>
    <col min="14639" max="14639" width="13.7109375" style="264" customWidth="1"/>
    <col min="14640" max="14640" width="11" style="264" customWidth="1"/>
    <col min="14641" max="14641" width="12.5703125" style="264" customWidth="1"/>
    <col min="14642" max="14642" width="12.42578125" style="264" customWidth="1"/>
    <col min="14643" max="14643" width="17" style="264" customWidth="1"/>
    <col min="14644" max="14644" width="14.140625" style="264" customWidth="1"/>
    <col min="14645" max="14645" width="18.7109375" style="264" customWidth="1"/>
    <col min="14646" max="14880" width="9.140625" style="264"/>
    <col min="14881" max="14881" width="9.5703125" style="264" customWidth="1"/>
    <col min="14882" max="14882" width="53.42578125" style="264" bestFit="1" customWidth="1"/>
    <col min="14883" max="14883" width="17.140625" style="264" customWidth="1"/>
    <col min="14884" max="14884" width="13.5703125" style="264" customWidth="1"/>
    <col min="14885" max="14885" width="15.7109375" style="264" customWidth="1"/>
    <col min="14886" max="14886" width="14.7109375" style="264" customWidth="1"/>
    <col min="14887" max="14887" width="16" style="264" customWidth="1"/>
    <col min="14888" max="14888" width="15.42578125" style="264" customWidth="1"/>
    <col min="14889" max="14889" width="12.85546875" style="264" customWidth="1"/>
    <col min="14890" max="14890" width="12.7109375" style="264" customWidth="1"/>
    <col min="14891" max="14891" width="6.28515625" style="264" customWidth="1"/>
    <col min="14892" max="14892" width="11.28515625" style="264" customWidth="1"/>
    <col min="14893" max="14893" width="52.42578125" style="264" customWidth="1"/>
    <col min="14894" max="14894" width="12.28515625" style="264" customWidth="1"/>
    <col min="14895" max="14895" width="13.7109375" style="264" customWidth="1"/>
    <col min="14896" max="14896" width="11" style="264" customWidth="1"/>
    <col min="14897" max="14897" width="12.5703125" style="264" customWidth="1"/>
    <col min="14898" max="14898" width="12.42578125" style="264" customWidth="1"/>
    <col min="14899" max="14899" width="17" style="264" customWidth="1"/>
    <col min="14900" max="14900" width="14.140625" style="264" customWidth="1"/>
    <col min="14901" max="14901" width="18.7109375" style="264" customWidth="1"/>
    <col min="14902" max="15136" width="9.140625" style="264"/>
    <col min="15137" max="15137" width="9.5703125" style="264" customWidth="1"/>
    <col min="15138" max="15138" width="53.42578125" style="264" bestFit="1" customWidth="1"/>
    <col min="15139" max="15139" width="17.140625" style="264" customWidth="1"/>
    <col min="15140" max="15140" width="13.5703125" style="264" customWidth="1"/>
    <col min="15141" max="15141" width="15.7109375" style="264" customWidth="1"/>
    <col min="15142" max="15142" width="14.7109375" style="264" customWidth="1"/>
    <col min="15143" max="15143" width="16" style="264" customWidth="1"/>
    <col min="15144" max="15144" width="15.42578125" style="264" customWidth="1"/>
    <col min="15145" max="15145" width="12.85546875" style="264" customWidth="1"/>
    <col min="15146" max="15146" width="12.7109375" style="264" customWidth="1"/>
    <col min="15147" max="15147" width="6.28515625" style="264" customWidth="1"/>
    <col min="15148" max="15148" width="11.28515625" style="264" customWidth="1"/>
    <col min="15149" max="15149" width="52.42578125" style="264" customWidth="1"/>
    <col min="15150" max="15150" width="12.28515625" style="264" customWidth="1"/>
    <col min="15151" max="15151" width="13.7109375" style="264" customWidth="1"/>
    <col min="15152" max="15152" width="11" style="264" customWidth="1"/>
    <col min="15153" max="15153" width="12.5703125" style="264" customWidth="1"/>
    <col min="15154" max="15154" width="12.42578125" style="264" customWidth="1"/>
    <col min="15155" max="15155" width="17" style="264" customWidth="1"/>
    <col min="15156" max="15156" width="14.140625" style="264" customWidth="1"/>
    <col min="15157" max="15157" width="18.7109375" style="264" customWidth="1"/>
    <col min="15158" max="15392" width="9.140625" style="264"/>
    <col min="15393" max="15393" width="9.5703125" style="264" customWidth="1"/>
    <col min="15394" max="15394" width="53.42578125" style="264" bestFit="1" customWidth="1"/>
    <col min="15395" max="15395" width="17.140625" style="264" customWidth="1"/>
    <col min="15396" max="15396" width="13.5703125" style="264" customWidth="1"/>
    <col min="15397" max="15397" width="15.7109375" style="264" customWidth="1"/>
    <col min="15398" max="15398" width="14.7109375" style="264" customWidth="1"/>
    <col min="15399" max="15399" width="16" style="264" customWidth="1"/>
    <col min="15400" max="15400" width="15.42578125" style="264" customWidth="1"/>
    <col min="15401" max="15401" width="12.85546875" style="264" customWidth="1"/>
    <col min="15402" max="15402" width="12.7109375" style="264" customWidth="1"/>
    <col min="15403" max="15403" width="6.28515625" style="264" customWidth="1"/>
    <col min="15404" max="15404" width="11.28515625" style="264" customWidth="1"/>
    <col min="15405" max="15405" width="52.42578125" style="264" customWidth="1"/>
    <col min="15406" max="15406" width="12.28515625" style="264" customWidth="1"/>
    <col min="15407" max="15407" width="13.7109375" style="264" customWidth="1"/>
    <col min="15408" max="15408" width="11" style="264" customWidth="1"/>
    <col min="15409" max="15409" width="12.5703125" style="264" customWidth="1"/>
    <col min="15410" max="15410" width="12.42578125" style="264" customWidth="1"/>
    <col min="15411" max="15411" width="17" style="264" customWidth="1"/>
    <col min="15412" max="15412" width="14.140625" style="264" customWidth="1"/>
    <col min="15413" max="15413" width="18.7109375" style="264" customWidth="1"/>
    <col min="15414" max="15648" width="9.140625" style="264"/>
    <col min="15649" max="15649" width="9.5703125" style="264" customWidth="1"/>
    <col min="15650" max="15650" width="53.42578125" style="264" bestFit="1" customWidth="1"/>
    <col min="15651" max="15651" width="17.140625" style="264" customWidth="1"/>
    <col min="15652" max="15652" width="13.5703125" style="264" customWidth="1"/>
    <col min="15653" max="15653" width="15.7109375" style="264" customWidth="1"/>
    <col min="15654" max="15654" width="14.7109375" style="264" customWidth="1"/>
    <col min="15655" max="15655" width="16" style="264" customWidth="1"/>
    <col min="15656" max="15656" width="15.42578125" style="264" customWidth="1"/>
    <col min="15657" max="15657" width="12.85546875" style="264" customWidth="1"/>
    <col min="15658" max="15658" width="12.7109375" style="264" customWidth="1"/>
    <col min="15659" max="15659" width="6.28515625" style="264" customWidth="1"/>
    <col min="15660" max="15660" width="11.28515625" style="264" customWidth="1"/>
    <col min="15661" max="15661" width="52.42578125" style="264" customWidth="1"/>
    <col min="15662" max="15662" width="12.28515625" style="264" customWidth="1"/>
    <col min="15663" max="15663" width="13.7109375" style="264" customWidth="1"/>
    <col min="15664" max="15664" width="11" style="264" customWidth="1"/>
    <col min="15665" max="15665" width="12.5703125" style="264" customWidth="1"/>
    <col min="15666" max="15666" width="12.42578125" style="264" customWidth="1"/>
    <col min="15667" max="15667" width="17" style="264" customWidth="1"/>
    <col min="15668" max="15668" width="14.140625" style="264" customWidth="1"/>
    <col min="15669" max="15669" width="18.7109375" style="264" customWidth="1"/>
    <col min="15670" max="15904" width="9.140625" style="264"/>
    <col min="15905" max="15905" width="9.5703125" style="264" customWidth="1"/>
    <col min="15906" max="15906" width="53.42578125" style="264" bestFit="1" customWidth="1"/>
    <col min="15907" max="15907" width="17.140625" style="264" customWidth="1"/>
    <col min="15908" max="15908" width="13.5703125" style="264" customWidth="1"/>
    <col min="15909" max="15909" width="15.7109375" style="264" customWidth="1"/>
    <col min="15910" max="15910" width="14.7109375" style="264" customWidth="1"/>
    <col min="15911" max="15911" width="16" style="264" customWidth="1"/>
    <col min="15912" max="15912" width="15.42578125" style="264" customWidth="1"/>
    <col min="15913" max="15913" width="12.85546875" style="264" customWidth="1"/>
    <col min="15914" max="15914" width="12.7109375" style="264" customWidth="1"/>
    <col min="15915" max="15915" width="6.28515625" style="264" customWidth="1"/>
    <col min="15916" max="15916" width="11.28515625" style="264" customWidth="1"/>
    <col min="15917" max="15917" width="52.42578125" style="264" customWidth="1"/>
    <col min="15918" max="15918" width="12.28515625" style="264" customWidth="1"/>
    <col min="15919" max="15919" width="13.7109375" style="264" customWidth="1"/>
    <col min="15920" max="15920" width="11" style="264" customWidth="1"/>
    <col min="15921" max="15921" width="12.5703125" style="264" customWidth="1"/>
    <col min="15922" max="15922" width="12.42578125" style="264" customWidth="1"/>
    <col min="15923" max="15923" width="17" style="264" customWidth="1"/>
    <col min="15924" max="15924" width="14.140625" style="264" customWidth="1"/>
    <col min="15925" max="15925" width="18.7109375" style="264" customWidth="1"/>
    <col min="15926" max="16160" width="9.140625" style="264"/>
    <col min="16161" max="16161" width="9.5703125" style="264" customWidth="1"/>
    <col min="16162" max="16162" width="53.42578125" style="264" bestFit="1" customWidth="1"/>
    <col min="16163" max="16163" width="17.140625" style="264" customWidth="1"/>
    <col min="16164" max="16164" width="13.5703125" style="264" customWidth="1"/>
    <col min="16165" max="16165" width="15.7109375" style="264" customWidth="1"/>
    <col min="16166" max="16166" width="14.7109375" style="264" customWidth="1"/>
    <col min="16167" max="16167" width="16" style="264" customWidth="1"/>
    <col min="16168" max="16168" width="15.42578125" style="264" customWidth="1"/>
    <col min="16169" max="16169" width="12.85546875" style="264" customWidth="1"/>
    <col min="16170" max="16170" width="12.7109375" style="264" customWidth="1"/>
    <col min="16171" max="16171" width="6.28515625" style="264" customWidth="1"/>
    <col min="16172" max="16172" width="11.28515625" style="264" customWidth="1"/>
    <col min="16173" max="16173" width="52.42578125" style="264" customWidth="1"/>
    <col min="16174" max="16174" width="12.28515625" style="264" customWidth="1"/>
    <col min="16175" max="16175" width="13.7109375" style="264" customWidth="1"/>
    <col min="16176" max="16176" width="11" style="264" customWidth="1"/>
    <col min="16177" max="16177" width="12.5703125" style="264" customWidth="1"/>
    <col min="16178" max="16178" width="12.42578125" style="264" customWidth="1"/>
    <col min="16179" max="16179" width="17" style="264" customWidth="1"/>
    <col min="16180" max="16180" width="14.140625" style="264" customWidth="1"/>
    <col min="16181" max="16181" width="18.7109375" style="264" customWidth="1"/>
    <col min="16182" max="16384" width="9.140625" style="264"/>
  </cols>
  <sheetData>
    <row r="1" spans="1:54" ht="45" customHeight="1" x14ac:dyDescent="0.2">
      <c r="A1" s="881" t="s">
        <v>354</v>
      </c>
      <c r="B1" s="881" t="s">
        <v>355</v>
      </c>
      <c r="C1" s="882" t="s">
        <v>15</v>
      </c>
      <c r="D1" s="875" t="s">
        <v>508</v>
      </c>
      <c r="E1" s="876"/>
      <c r="F1" s="876"/>
      <c r="G1" s="876"/>
      <c r="H1" s="876"/>
      <c r="I1" s="876"/>
      <c r="J1" s="876"/>
      <c r="K1" s="876"/>
      <c r="L1" s="877"/>
      <c r="M1" s="883" t="s">
        <v>860</v>
      </c>
      <c r="N1" s="884"/>
      <c r="O1" s="885"/>
      <c r="P1" s="883" t="s">
        <v>861</v>
      </c>
      <c r="Q1" s="884"/>
      <c r="R1" s="885"/>
      <c r="S1" s="883" t="s">
        <v>862</v>
      </c>
      <c r="T1" s="884"/>
      <c r="U1" s="885"/>
      <c r="V1" s="881" t="s">
        <v>544</v>
      </c>
      <c r="W1" s="881"/>
      <c r="X1" s="881"/>
      <c r="Y1" s="881"/>
      <c r="Z1" s="881"/>
      <c r="AA1" s="490"/>
      <c r="AB1" s="881" t="s">
        <v>354</v>
      </c>
      <c r="AC1" s="881" t="s">
        <v>355</v>
      </c>
      <c r="AD1" s="882" t="s">
        <v>15</v>
      </c>
      <c r="AE1" s="883" t="s">
        <v>864</v>
      </c>
      <c r="AF1" s="884"/>
      <c r="AG1" s="885"/>
      <c r="AH1" s="889" t="s">
        <v>868</v>
      </c>
      <c r="AI1" s="876"/>
      <c r="AJ1" s="876"/>
      <c r="AK1" s="876"/>
      <c r="AL1" s="876"/>
      <c r="AM1" s="877"/>
      <c r="AN1" s="875" t="s">
        <v>509</v>
      </c>
      <c r="AO1" s="876"/>
      <c r="AP1" s="876"/>
      <c r="AQ1" s="876"/>
      <c r="AR1" s="876"/>
      <c r="AS1" s="876"/>
      <c r="AT1" s="876"/>
      <c r="AU1" s="876"/>
      <c r="AV1" s="876"/>
      <c r="AW1" s="876"/>
      <c r="AX1" s="877"/>
      <c r="AY1" s="490"/>
      <c r="AZ1" s="869" t="s">
        <v>13</v>
      </c>
      <c r="BA1" s="870"/>
      <c r="BB1" s="871"/>
    </row>
    <row r="2" spans="1:54" ht="63.75" customHeight="1" x14ac:dyDescent="0.2">
      <c r="A2" s="881"/>
      <c r="B2" s="881"/>
      <c r="C2" s="882"/>
      <c r="D2" s="875" t="s">
        <v>542</v>
      </c>
      <c r="E2" s="876"/>
      <c r="F2" s="877"/>
      <c r="G2" s="889" t="s">
        <v>858</v>
      </c>
      <c r="H2" s="876"/>
      <c r="I2" s="877"/>
      <c r="J2" s="889" t="s">
        <v>859</v>
      </c>
      <c r="K2" s="876"/>
      <c r="L2" s="877"/>
      <c r="M2" s="886"/>
      <c r="N2" s="887"/>
      <c r="O2" s="888"/>
      <c r="P2" s="886"/>
      <c r="Q2" s="887"/>
      <c r="R2" s="888"/>
      <c r="S2" s="886"/>
      <c r="T2" s="887"/>
      <c r="U2" s="888"/>
      <c r="V2" s="889" t="s">
        <v>863</v>
      </c>
      <c r="W2" s="876"/>
      <c r="X2" s="877"/>
      <c r="Y2" s="889" t="s">
        <v>635</v>
      </c>
      <c r="Z2" s="893"/>
      <c r="AA2" s="894"/>
      <c r="AB2" s="881"/>
      <c r="AC2" s="881"/>
      <c r="AD2" s="882"/>
      <c r="AE2" s="886"/>
      <c r="AF2" s="887"/>
      <c r="AG2" s="888"/>
      <c r="AH2" s="889" t="s">
        <v>869</v>
      </c>
      <c r="AI2" s="893"/>
      <c r="AJ2" s="894"/>
      <c r="AK2" s="889" t="s">
        <v>636</v>
      </c>
      <c r="AL2" s="893"/>
      <c r="AM2" s="894"/>
      <c r="AN2" s="889" t="s">
        <v>865</v>
      </c>
      <c r="AO2" s="876"/>
      <c r="AP2" s="877"/>
      <c r="AQ2" s="889" t="s">
        <v>866</v>
      </c>
      <c r="AR2" s="893"/>
      <c r="AS2" s="894"/>
      <c r="AT2" s="889" t="s">
        <v>867</v>
      </c>
      <c r="AU2" s="876"/>
      <c r="AV2" s="877"/>
      <c r="AW2" s="889" t="s">
        <v>870</v>
      </c>
      <c r="AX2" s="876"/>
      <c r="AY2" s="877"/>
      <c r="AZ2" s="872"/>
      <c r="BA2" s="873"/>
      <c r="BB2" s="874"/>
    </row>
    <row r="3" spans="1:54" ht="38.25" x14ac:dyDescent="0.2">
      <c r="A3" s="355"/>
      <c r="B3" s="355"/>
      <c r="C3" s="354"/>
      <c r="D3" s="350" t="s">
        <v>579</v>
      </c>
      <c r="E3" s="350" t="s">
        <v>819</v>
      </c>
      <c r="F3" s="350" t="s">
        <v>794</v>
      </c>
      <c r="G3" s="350" t="s">
        <v>579</v>
      </c>
      <c r="H3" s="350" t="s">
        <v>819</v>
      </c>
      <c r="I3" s="350" t="s">
        <v>794</v>
      </c>
      <c r="J3" s="350" t="s">
        <v>579</v>
      </c>
      <c r="K3" s="350" t="s">
        <v>819</v>
      </c>
      <c r="L3" s="350" t="s">
        <v>794</v>
      </c>
      <c r="M3" s="350" t="s">
        <v>579</v>
      </c>
      <c r="N3" s="350" t="s">
        <v>819</v>
      </c>
      <c r="O3" s="350" t="s">
        <v>794</v>
      </c>
      <c r="P3" s="350" t="s">
        <v>579</v>
      </c>
      <c r="Q3" s="350" t="s">
        <v>819</v>
      </c>
      <c r="R3" s="350" t="s">
        <v>794</v>
      </c>
      <c r="S3" s="350" t="s">
        <v>579</v>
      </c>
      <c r="T3" s="350" t="s">
        <v>819</v>
      </c>
      <c r="U3" s="350" t="s">
        <v>794</v>
      </c>
      <c r="V3" s="350" t="s">
        <v>579</v>
      </c>
      <c r="W3" s="350" t="s">
        <v>819</v>
      </c>
      <c r="X3" s="350" t="s">
        <v>794</v>
      </c>
      <c r="Y3" s="350" t="s">
        <v>579</v>
      </c>
      <c r="Z3" s="350" t="s">
        <v>819</v>
      </c>
      <c r="AA3" s="350" t="s">
        <v>794</v>
      </c>
      <c r="AB3" s="355"/>
      <c r="AC3" s="355"/>
      <c r="AD3" s="354"/>
      <c r="AE3" s="350" t="s">
        <v>579</v>
      </c>
      <c r="AF3" s="350" t="s">
        <v>819</v>
      </c>
      <c r="AG3" s="350" t="s">
        <v>794</v>
      </c>
      <c r="AH3" s="350" t="s">
        <v>579</v>
      </c>
      <c r="AI3" s="350" t="s">
        <v>819</v>
      </c>
      <c r="AJ3" s="350" t="s">
        <v>794</v>
      </c>
      <c r="AK3" s="350" t="s">
        <v>579</v>
      </c>
      <c r="AL3" s="350" t="s">
        <v>819</v>
      </c>
      <c r="AM3" s="350" t="s">
        <v>794</v>
      </c>
      <c r="AN3" s="350" t="s">
        <v>579</v>
      </c>
      <c r="AO3" s="350" t="s">
        <v>819</v>
      </c>
      <c r="AP3" s="350" t="s">
        <v>794</v>
      </c>
      <c r="AQ3" s="350" t="s">
        <v>579</v>
      </c>
      <c r="AR3" s="350" t="s">
        <v>819</v>
      </c>
      <c r="AS3" s="350" t="s">
        <v>794</v>
      </c>
      <c r="AT3" s="350" t="s">
        <v>579</v>
      </c>
      <c r="AU3" s="350" t="s">
        <v>819</v>
      </c>
      <c r="AV3" s="350" t="s">
        <v>794</v>
      </c>
      <c r="AW3" s="350" t="s">
        <v>579</v>
      </c>
      <c r="AX3" s="350" t="s">
        <v>819</v>
      </c>
      <c r="AY3" s="350" t="s">
        <v>794</v>
      </c>
      <c r="AZ3" s="350" t="s">
        <v>579</v>
      </c>
      <c r="BA3" s="350" t="s">
        <v>819</v>
      </c>
      <c r="BB3" s="350" t="s">
        <v>794</v>
      </c>
    </row>
    <row r="4" spans="1:54" ht="15.75" x14ac:dyDescent="0.2">
      <c r="A4" s="320"/>
      <c r="B4" s="320"/>
      <c r="C4" s="321" t="s">
        <v>356</v>
      </c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20"/>
      <c r="AC4" s="320"/>
      <c r="AD4" s="321" t="s">
        <v>356</v>
      </c>
      <c r="AE4" s="356"/>
      <c r="AF4" s="357"/>
      <c r="AG4" s="357"/>
      <c r="AH4" s="357"/>
      <c r="AI4" s="357"/>
      <c r="AJ4" s="357"/>
      <c r="AK4" s="357"/>
      <c r="AL4" s="357"/>
      <c r="AM4" s="357"/>
      <c r="AN4" s="357"/>
      <c r="AO4" s="357"/>
      <c r="AP4" s="357"/>
      <c r="AQ4" s="357"/>
      <c r="AR4" s="357"/>
      <c r="AS4" s="357"/>
      <c r="AT4" s="357"/>
      <c r="AU4" s="357"/>
      <c r="AV4" s="357"/>
      <c r="AW4" s="357"/>
      <c r="AX4" s="357"/>
      <c r="AY4" s="357"/>
      <c r="AZ4" s="357"/>
      <c r="BA4" s="357"/>
      <c r="BB4" s="357"/>
    </row>
    <row r="5" spans="1:54" ht="15.75" x14ac:dyDescent="0.25">
      <c r="A5" s="322" t="s">
        <v>357</v>
      </c>
      <c r="B5" s="323"/>
      <c r="C5" s="324" t="s">
        <v>358</v>
      </c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  <c r="R5" s="359"/>
      <c r="S5" s="359"/>
      <c r="T5" s="359"/>
      <c r="U5" s="359"/>
      <c r="V5" s="359"/>
      <c r="W5" s="359"/>
      <c r="X5" s="359"/>
      <c r="Y5" s="359"/>
      <c r="Z5" s="359"/>
      <c r="AA5" s="359"/>
      <c r="AB5" s="322" t="s">
        <v>357</v>
      </c>
      <c r="AC5" s="323"/>
      <c r="AD5" s="324" t="s">
        <v>358</v>
      </c>
      <c r="AE5" s="358"/>
      <c r="AF5" s="359"/>
      <c r="AG5" s="359"/>
      <c r="AH5" s="359"/>
      <c r="AI5" s="359"/>
      <c r="AJ5" s="359"/>
      <c r="AK5" s="359"/>
      <c r="AL5" s="359"/>
      <c r="AM5" s="359"/>
      <c r="AN5" s="359"/>
      <c r="AO5" s="359"/>
      <c r="AP5" s="359"/>
      <c r="AQ5" s="359"/>
      <c r="AR5" s="359"/>
      <c r="AS5" s="359"/>
      <c r="AT5" s="359"/>
      <c r="AU5" s="359"/>
      <c r="AV5" s="359"/>
      <c r="AW5" s="359"/>
      <c r="AX5" s="359"/>
      <c r="AY5" s="359"/>
      <c r="AZ5" s="359"/>
      <c r="BA5" s="372"/>
      <c r="BB5" s="372"/>
    </row>
    <row r="6" spans="1:54" ht="15.75" x14ac:dyDescent="0.25">
      <c r="A6" s="322"/>
      <c r="B6" s="325" t="s">
        <v>359</v>
      </c>
      <c r="C6" s="326" t="s">
        <v>360</v>
      </c>
      <c r="D6" s="359"/>
      <c r="E6" s="359"/>
      <c r="F6" s="359"/>
      <c r="G6" s="359"/>
      <c r="H6" s="359"/>
      <c r="I6" s="359"/>
      <c r="J6" s="359">
        <v>70000</v>
      </c>
      <c r="K6" s="359"/>
      <c r="L6" s="359"/>
      <c r="M6" s="359"/>
      <c r="N6" s="359"/>
      <c r="O6" s="359"/>
      <c r="P6" s="359"/>
      <c r="Q6" s="359"/>
      <c r="R6" s="359"/>
      <c r="S6" s="359">
        <v>441000</v>
      </c>
      <c r="T6" s="359">
        <v>441000</v>
      </c>
      <c r="U6" s="359">
        <v>67388</v>
      </c>
      <c r="V6" s="359"/>
      <c r="W6" s="359"/>
      <c r="X6" s="359"/>
      <c r="Y6" s="359"/>
      <c r="Z6" s="359"/>
      <c r="AA6" s="359"/>
      <c r="AB6" s="322"/>
      <c r="AC6" s="325" t="s">
        <v>359</v>
      </c>
      <c r="AD6" s="326" t="s">
        <v>360</v>
      </c>
      <c r="AE6" s="360"/>
      <c r="AF6" s="359"/>
      <c r="AG6" s="359"/>
      <c r="AH6" s="359"/>
      <c r="AI6" s="359"/>
      <c r="AJ6" s="359"/>
      <c r="AK6" s="359"/>
      <c r="AL6" s="359"/>
      <c r="AM6" s="359"/>
      <c r="AN6" s="359"/>
      <c r="AO6" s="359"/>
      <c r="AP6" s="359"/>
      <c r="AQ6" s="359"/>
      <c r="AR6" s="359"/>
      <c r="AS6" s="359"/>
      <c r="AT6" s="359"/>
      <c r="AU6" s="359"/>
      <c r="AV6" s="359"/>
      <c r="AW6" s="359"/>
      <c r="AX6" s="359"/>
      <c r="AY6" s="359"/>
      <c r="AZ6" s="369">
        <f t="shared" ref="AZ6:AZ22" si="0">SUM(D6+G6+J6+M6+P6+S6+V6+Y6+AE6+AH6+AK6+AN6+AQ6+AW6+AT6)</f>
        <v>511000</v>
      </c>
      <c r="BA6" s="369">
        <f t="shared" ref="BA6:BA22" si="1">SUM(E6+H6+K6+N6+Q6+T6+W6+Z6+AF6+AI6+AL6+AO6+AR6+AX6+AU6)</f>
        <v>441000</v>
      </c>
      <c r="BB6" s="369">
        <f t="shared" ref="BB6:BB22" si="2">SUM(F6+I6+L6+O6+R6+U6+X6+AA6+AG6+AJ6+AM6+AP6+AS6+AY6+AV6)</f>
        <v>67388</v>
      </c>
    </row>
    <row r="7" spans="1:54" ht="15.75" x14ac:dyDescent="0.25">
      <c r="A7" s="322"/>
      <c r="B7" s="325" t="s">
        <v>361</v>
      </c>
      <c r="C7" s="327" t="s">
        <v>362</v>
      </c>
      <c r="D7" s="359"/>
      <c r="E7" s="359"/>
      <c r="F7" s="359"/>
      <c r="G7" s="359"/>
      <c r="H7" s="359"/>
      <c r="I7" s="359"/>
      <c r="J7" s="359"/>
      <c r="K7" s="359"/>
      <c r="L7" s="359"/>
      <c r="M7" s="359"/>
      <c r="N7" s="359"/>
      <c r="O7" s="359"/>
      <c r="P7" s="359"/>
      <c r="Q7" s="359"/>
      <c r="R7" s="359"/>
      <c r="S7" s="359">
        <v>381000</v>
      </c>
      <c r="T7" s="359">
        <v>381000</v>
      </c>
      <c r="U7" s="359">
        <v>107465</v>
      </c>
      <c r="V7" s="359"/>
      <c r="W7" s="359"/>
      <c r="X7" s="359"/>
      <c r="Y7" s="359"/>
      <c r="Z7" s="359"/>
      <c r="AA7" s="359"/>
      <c r="AB7" s="322"/>
      <c r="AC7" s="325" t="s">
        <v>361</v>
      </c>
      <c r="AD7" s="327" t="s">
        <v>362</v>
      </c>
      <c r="AE7" s="359"/>
      <c r="AF7" s="359"/>
      <c r="AG7" s="359"/>
      <c r="AH7" s="359"/>
      <c r="AI7" s="359"/>
      <c r="AJ7" s="359"/>
      <c r="AK7" s="359"/>
      <c r="AL7" s="359"/>
      <c r="AM7" s="359"/>
      <c r="AN7" s="359"/>
      <c r="AO7" s="359"/>
      <c r="AP7" s="359"/>
      <c r="AQ7" s="359"/>
      <c r="AR7" s="359"/>
      <c r="AS7" s="359"/>
      <c r="AT7" s="359"/>
      <c r="AU7" s="359"/>
      <c r="AV7" s="359"/>
      <c r="AW7" s="359"/>
      <c r="AX7" s="359"/>
      <c r="AY7" s="359"/>
      <c r="AZ7" s="369">
        <f t="shared" si="0"/>
        <v>381000</v>
      </c>
      <c r="BA7" s="369">
        <f t="shared" si="1"/>
        <v>381000</v>
      </c>
      <c r="BB7" s="369">
        <f t="shared" si="2"/>
        <v>107465</v>
      </c>
    </row>
    <row r="8" spans="1:54" ht="15.75" x14ac:dyDescent="0.25">
      <c r="A8" s="322"/>
      <c r="B8" s="325" t="s">
        <v>363</v>
      </c>
      <c r="C8" s="328" t="s">
        <v>364</v>
      </c>
      <c r="D8" s="359"/>
      <c r="E8" s="359"/>
      <c r="F8" s="359"/>
      <c r="G8" s="359"/>
      <c r="H8" s="359"/>
      <c r="I8" s="359"/>
      <c r="J8" s="359">
        <v>4513146</v>
      </c>
      <c r="K8" s="359">
        <v>671146</v>
      </c>
      <c r="L8" s="359"/>
      <c r="M8" s="359">
        <v>273371171</v>
      </c>
      <c r="N8" s="359">
        <v>26389771</v>
      </c>
      <c r="O8" s="359"/>
      <c r="P8" s="359"/>
      <c r="Q8" s="359"/>
      <c r="R8" s="359"/>
      <c r="S8" s="359">
        <v>23645601</v>
      </c>
      <c r="T8" s="359">
        <v>32788359</v>
      </c>
      <c r="U8" s="359">
        <v>32788359</v>
      </c>
      <c r="V8" s="359"/>
      <c r="W8" s="359"/>
      <c r="X8" s="359"/>
      <c r="Y8" s="359"/>
      <c r="Z8" s="359"/>
      <c r="AA8" s="359"/>
      <c r="AB8" s="322"/>
      <c r="AC8" s="325" t="s">
        <v>363</v>
      </c>
      <c r="AD8" s="328" t="s">
        <v>364</v>
      </c>
      <c r="AE8" s="361"/>
      <c r="AF8" s="359">
        <v>2200000</v>
      </c>
      <c r="AG8" s="359">
        <v>2200000</v>
      </c>
      <c r="AH8" s="359"/>
      <c r="AI8" s="359"/>
      <c r="AJ8" s="359"/>
      <c r="AK8" s="359"/>
      <c r="AL8" s="359"/>
      <c r="AM8" s="359"/>
      <c r="AN8" s="359"/>
      <c r="AO8" s="359"/>
      <c r="AP8" s="359"/>
      <c r="AQ8" s="359"/>
      <c r="AR8" s="359"/>
      <c r="AS8" s="359"/>
      <c r="AT8" s="359"/>
      <c r="AU8" s="359"/>
      <c r="AV8" s="359"/>
      <c r="AW8" s="359"/>
      <c r="AX8" s="359"/>
      <c r="AY8" s="359"/>
      <c r="AZ8" s="369">
        <f t="shared" si="0"/>
        <v>301529918</v>
      </c>
      <c r="BA8" s="369">
        <f t="shared" si="1"/>
        <v>62049276</v>
      </c>
      <c r="BB8" s="369">
        <f t="shared" si="2"/>
        <v>34988359</v>
      </c>
    </row>
    <row r="9" spans="1:54" ht="15.75" x14ac:dyDescent="0.2">
      <c r="A9" s="329"/>
      <c r="B9" s="325" t="s">
        <v>365</v>
      </c>
      <c r="C9" s="326" t="s">
        <v>366</v>
      </c>
      <c r="D9" s="359">
        <v>369329920</v>
      </c>
      <c r="E9" s="359">
        <v>386012122</v>
      </c>
      <c r="F9" s="359">
        <v>386012122</v>
      </c>
      <c r="G9" s="359"/>
      <c r="H9" s="359"/>
      <c r="I9" s="359"/>
      <c r="J9" s="359"/>
      <c r="K9" s="359"/>
      <c r="L9" s="359"/>
      <c r="M9" s="359">
        <v>14258924</v>
      </c>
      <c r="N9" s="360">
        <v>14798239</v>
      </c>
      <c r="O9" s="360">
        <v>14798239</v>
      </c>
      <c r="P9" s="362"/>
      <c r="Q9" s="362"/>
      <c r="R9" s="362"/>
      <c r="S9" s="362"/>
      <c r="T9" s="362"/>
      <c r="U9" s="362"/>
      <c r="V9" s="362"/>
      <c r="W9" s="362"/>
      <c r="X9" s="362"/>
      <c r="Y9" s="362"/>
      <c r="Z9" s="362"/>
      <c r="AA9" s="362"/>
      <c r="AB9" s="329"/>
      <c r="AC9" s="325" t="s">
        <v>365</v>
      </c>
      <c r="AD9" s="326" t="s">
        <v>366</v>
      </c>
      <c r="AE9" s="360"/>
      <c r="AF9" s="362"/>
      <c r="AG9" s="362"/>
      <c r="AH9" s="362"/>
      <c r="AI9" s="362"/>
      <c r="AJ9" s="362"/>
      <c r="AK9" s="362"/>
      <c r="AL9" s="362"/>
      <c r="AM9" s="362"/>
      <c r="AN9" s="362"/>
      <c r="AO9" s="362"/>
      <c r="AP9" s="362"/>
      <c r="AQ9" s="362"/>
      <c r="AR9" s="360">
        <v>16407220</v>
      </c>
      <c r="AS9" s="360">
        <v>16407220</v>
      </c>
      <c r="AT9" s="362"/>
      <c r="AU9" s="362"/>
      <c r="AV9" s="362"/>
      <c r="AW9" s="362"/>
      <c r="AX9" s="362"/>
      <c r="AY9" s="362"/>
      <c r="AZ9" s="369">
        <f t="shared" si="0"/>
        <v>383588844</v>
      </c>
      <c r="BA9" s="369">
        <f t="shared" si="1"/>
        <v>417217581</v>
      </c>
      <c r="BB9" s="369">
        <f t="shared" si="2"/>
        <v>417217581</v>
      </c>
    </row>
    <row r="10" spans="1:54" ht="15.75" x14ac:dyDescent="0.2">
      <c r="A10" s="329"/>
      <c r="B10" s="325" t="s">
        <v>367</v>
      </c>
      <c r="C10" s="326" t="s">
        <v>368</v>
      </c>
      <c r="D10" s="359"/>
      <c r="E10" s="359"/>
      <c r="F10" s="359"/>
      <c r="G10" s="359"/>
      <c r="H10" s="359">
        <v>10627629</v>
      </c>
      <c r="I10" s="359">
        <v>10627629</v>
      </c>
      <c r="J10" s="359"/>
      <c r="K10" s="359">
        <v>354571</v>
      </c>
      <c r="L10" s="359">
        <v>354571</v>
      </c>
      <c r="M10" s="359"/>
      <c r="N10" s="360"/>
      <c r="O10" s="360"/>
      <c r="P10" s="362"/>
      <c r="Q10" s="362"/>
      <c r="R10" s="362"/>
      <c r="S10" s="362"/>
      <c r="T10" s="362"/>
      <c r="U10" s="362"/>
      <c r="V10" s="362"/>
      <c r="W10" s="362"/>
      <c r="X10" s="362"/>
      <c r="Y10" s="362"/>
      <c r="Z10" s="362"/>
      <c r="AA10" s="362"/>
      <c r="AB10" s="329"/>
      <c r="AC10" s="325" t="s">
        <v>367</v>
      </c>
      <c r="AD10" s="326" t="s">
        <v>368</v>
      </c>
      <c r="AE10" s="360"/>
      <c r="AF10" s="362"/>
      <c r="AG10" s="362"/>
      <c r="AH10" s="362"/>
      <c r="AI10" s="362"/>
      <c r="AJ10" s="362"/>
      <c r="AK10" s="362"/>
      <c r="AL10" s="362"/>
      <c r="AM10" s="362"/>
      <c r="AN10" s="362"/>
      <c r="AO10" s="359"/>
      <c r="AP10" s="359"/>
      <c r="AQ10" s="359"/>
      <c r="AR10" s="359"/>
      <c r="AS10" s="359"/>
      <c r="AT10" s="359"/>
      <c r="AU10" s="359"/>
      <c r="AV10" s="359"/>
      <c r="AW10" s="359">
        <v>55813230</v>
      </c>
      <c r="AX10" s="359">
        <v>54149937</v>
      </c>
      <c r="AY10" s="359">
        <v>54149937</v>
      </c>
      <c r="AZ10" s="369">
        <f t="shared" si="0"/>
        <v>55813230</v>
      </c>
      <c r="BA10" s="369">
        <f t="shared" si="1"/>
        <v>65132137</v>
      </c>
      <c r="BB10" s="369">
        <f t="shared" si="2"/>
        <v>65132137</v>
      </c>
    </row>
    <row r="11" spans="1:54" ht="15.75" x14ac:dyDescent="0.2">
      <c r="A11" s="329"/>
      <c r="B11" s="330"/>
      <c r="C11" s="331" t="s">
        <v>369</v>
      </c>
      <c r="D11" s="363">
        <f t="shared" ref="D11" si="3">SUM(D6:D10)</f>
        <v>369329920</v>
      </c>
      <c r="E11" s="363">
        <f t="shared" ref="E11:Z11" si="4">SUM(E6:E10)</f>
        <v>386012122</v>
      </c>
      <c r="F11" s="363">
        <f t="shared" ref="F11" si="5">SUM(F6:F10)</f>
        <v>386012122</v>
      </c>
      <c r="G11" s="363">
        <f t="shared" ref="G11" si="6">SUM(G6:G10)</f>
        <v>0</v>
      </c>
      <c r="H11" s="363">
        <f t="shared" si="4"/>
        <v>10627629</v>
      </c>
      <c r="I11" s="363">
        <f t="shared" ref="I11" si="7">SUM(I6:I10)</f>
        <v>10627629</v>
      </c>
      <c r="J11" s="363">
        <f t="shared" ref="J11" si="8">SUM(J6:J10)</f>
        <v>4583146</v>
      </c>
      <c r="K11" s="363">
        <f t="shared" si="4"/>
        <v>1025717</v>
      </c>
      <c r="L11" s="363">
        <f t="shared" ref="L11" si="9">SUM(L6:L10)</f>
        <v>354571</v>
      </c>
      <c r="M11" s="363">
        <f t="shared" ref="M11" si="10">SUM(M6:M10)</f>
        <v>287630095</v>
      </c>
      <c r="N11" s="363">
        <f t="shared" si="4"/>
        <v>41188010</v>
      </c>
      <c r="O11" s="363">
        <f t="shared" ref="O11" si="11">SUM(O6:O10)</f>
        <v>14798239</v>
      </c>
      <c r="P11" s="363">
        <f t="shared" ref="P11" si="12">SUM(P6:P10)</f>
        <v>0</v>
      </c>
      <c r="Q11" s="363">
        <f t="shared" si="4"/>
        <v>0</v>
      </c>
      <c r="R11" s="363">
        <f t="shared" ref="R11" si="13">SUM(R6:R10)</f>
        <v>0</v>
      </c>
      <c r="S11" s="363">
        <f t="shared" ref="S11" si="14">SUM(S6:S10)</f>
        <v>24467601</v>
      </c>
      <c r="T11" s="363">
        <f t="shared" si="4"/>
        <v>33610359</v>
      </c>
      <c r="U11" s="363">
        <f t="shared" ref="U11" si="15">SUM(U6:U10)</f>
        <v>32963212</v>
      </c>
      <c r="V11" s="363">
        <f t="shared" ref="V11" si="16">SUM(V6:V10)</f>
        <v>0</v>
      </c>
      <c r="W11" s="363">
        <f t="shared" si="4"/>
        <v>0</v>
      </c>
      <c r="X11" s="363">
        <f t="shared" ref="X11" si="17">SUM(X6:X10)</f>
        <v>0</v>
      </c>
      <c r="Y11" s="363">
        <f t="shared" ref="Y11" si="18">SUM(Y6:Y10)</f>
        <v>0</v>
      </c>
      <c r="Z11" s="363">
        <f t="shared" si="4"/>
        <v>0</v>
      </c>
      <c r="AA11" s="363">
        <f t="shared" ref="AA11" si="19">SUM(AA6:AA10)</f>
        <v>0</v>
      </c>
      <c r="AB11" s="329"/>
      <c r="AC11" s="330"/>
      <c r="AD11" s="331" t="s">
        <v>369</v>
      </c>
      <c r="AE11" s="363">
        <f t="shared" ref="AE11" si="20">SUM(AE6:AE10)</f>
        <v>0</v>
      </c>
      <c r="AF11" s="363">
        <f t="shared" ref="AF11:AY11" si="21">SUM(AF6:AF10)</f>
        <v>2200000</v>
      </c>
      <c r="AG11" s="363">
        <f t="shared" si="21"/>
        <v>2200000</v>
      </c>
      <c r="AH11" s="363">
        <f t="shared" ref="AH11" si="22">SUM(AH6:AH10)</f>
        <v>0</v>
      </c>
      <c r="AI11" s="363">
        <f t="shared" si="21"/>
        <v>0</v>
      </c>
      <c r="AJ11" s="363">
        <f t="shared" si="21"/>
        <v>0</v>
      </c>
      <c r="AK11" s="363">
        <f t="shared" ref="AK11" si="23">SUM(AK6:AK10)</f>
        <v>0</v>
      </c>
      <c r="AL11" s="363">
        <f t="shared" si="21"/>
        <v>0</v>
      </c>
      <c r="AM11" s="363">
        <f t="shared" si="21"/>
        <v>0</v>
      </c>
      <c r="AN11" s="363">
        <f t="shared" ref="AN11" si="24">SUM(AN6:AN10)</f>
        <v>0</v>
      </c>
      <c r="AO11" s="363">
        <f t="shared" si="21"/>
        <v>0</v>
      </c>
      <c r="AP11" s="363">
        <f t="shared" si="21"/>
        <v>0</v>
      </c>
      <c r="AQ11" s="363">
        <f t="shared" ref="AQ11" si="25">SUM(AQ6:AQ10)</f>
        <v>0</v>
      </c>
      <c r="AR11" s="363">
        <f t="shared" si="21"/>
        <v>16407220</v>
      </c>
      <c r="AS11" s="363">
        <f t="shared" si="21"/>
        <v>16407220</v>
      </c>
      <c r="AT11" s="363">
        <f t="shared" ref="AT11" si="26">SUM(AT6:AT10)</f>
        <v>0</v>
      </c>
      <c r="AU11" s="363">
        <f t="shared" si="21"/>
        <v>0</v>
      </c>
      <c r="AV11" s="363">
        <f t="shared" si="21"/>
        <v>0</v>
      </c>
      <c r="AW11" s="363">
        <f t="shared" ref="AW11" si="27">SUM(AW6:AW10)</f>
        <v>55813230</v>
      </c>
      <c r="AX11" s="363">
        <f t="shared" si="21"/>
        <v>54149937</v>
      </c>
      <c r="AY11" s="363">
        <f t="shared" si="21"/>
        <v>54149937</v>
      </c>
      <c r="AZ11" s="364">
        <f t="shared" si="0"/>
        <v>741823992</v>
      </c>
      <c r="BA11" s="364">
        <f t="shared" si="1"/>
        <v>545220994</v>
      </c>
      <c r="BB11" s="364">
        <f t="shared" si="2"/>
        <v>517512930</v>
      </c>
    </row>
    <row r="12" spans="1:54" ht="15.75" x14ac:dyDescent="0.2">
      <c r="A12" s="332" t="s">
        <v>370</v>
      </c>
      <c r="B12" s="326"/>
      <c r="C12" s="333" t="s">
        <v>371</v>
      </c>
      <c r="D12" s="359"/>
      <c r="E12" s="359"/>
      <c r="F12" s="359"/>
      <c r="G12" s="359"/>
      <c r="H12" s="359"/>
      <c r="I12" s="359"/>
      <c r="J12" s="359"/>
      <c r="K12" s="359"/>
      <c r="L12" s="359"/>
      <c r="M12" s="359"/>
      <c r="N12" s="359"/>
      <c r="O12" s="359"/>
      <c r="P12" s="359"/>
      <c r="Q12" s="359"/>
      <c r="R12" s="359"/>
      <c r="S12" s="359"/>
      <c r="T12" s="359"/>
      <c r="U12" s="359"/>
      <c r="V12" s="359"/>
      <c r="W12" s="359"/>
      <c r="X12" s="359"/>
      <c r="Y12" s="359"/>
      <c r="Z12" s="359"/>
      <c r="AA12" s="359"/>
      <c r="AB12" s="332" t="s">
        <v>370</v>
      </c>
      <c r="AC12" s="326"/>
      <c r="AD12" s="333" t="s">
        <v>371</v>
      </c>
      <c r="AE12" s="359"/>
      <c r="AF12" s="359"/>
      <c r="AG12" s="359"/>
      <c r="AH12" s="359"/>
      <c r="AI12" s="359"/>
      <c r="AJ12" s="359"/>
      <c r="AK12" s="359"/>
      <c r="AL12" s="359"/>
      <c r="AM12" s="359"/>
      <c r="AN12" s="359"/>
      <c r="AO12" s="359"/>
      <c r="AP12" s="359"/>
      <c r="AQ12" s="359"/>
      <c r="AR12" s="359"/>
      <c r="AS12" s="359"/>
      <c r="AT12" s="359"/>
      <c r="AU12" s="359"/>
      <c r="AV12" s="359"/>
      <c r="AW12" s="359"/>
      <c r="AX12" s="359"/>
      <c r="AY12" s="359"/>
      <c r="AZ12" s="369">
        <f t="shared" si="0"/>
        <v>0</v>
      </c>
      <c r="BA12" s="369">
        <f t="shared" si="1"/>
        <v>0</v>
      </c>
      <c r="BB12" s="369">
        <f t="shared" si="2"/>
        <v>0</v>
      </c>
    </row>
    <row r="13" spans="1:54" ht="15.75" x14ac:dyDescent="0.2">
      <c r="A13" s="323"/>
      <c r="B13" s="325" t="s">
        <v>372</v>
      </c>
      <c r="C13" s="327" t="s">
        <v>373</v>
      </c>
      <c r="D13" s="359"/>
      <c r="E13" s="359"/>
      <c r="F13" s="359"/>
      <c r="G13" s="359"/>
      <c r="H13" s="359"/>
      <c r="I13" s="359"/>
      <c r="J13" s="359">
        <v>10326772</v>
      </c>
      <c r="K13" s="359">
        <f>'3.sz.m.bevételek jogcímenként'!E17</f>
        <v>9233588</v>
      </c>
      <c r="L13" s="359">
        <v>9233588</v>
      </c>
      <c r="M13" s="359"/>
      <c r="N13" s="359"/>
      <c r="O13" s="359"/>
      <c r="P13" s="359"/>
      <c r="Q13" s="359"/>
      <c r="R13" s="359"/>
      <c r="S13" s="359"/>
      <c r="T13" s="359"/>
      <c r="U13" s="359"/>
      <c r="V13" s="359"/>
      <c r="W13" s="359"/>
      <c r="X13" s="359"/>
      <c r="Y13" s="359"/>
      <c r="Z13" s="359"/>
      <c r="AA13" s="359"/>
      <c r="AB13" s="323"/>
      <c r="AC13" s="325" t="s">
        <v>372</v>
      </c>
      <c r="AD13" s="327" t="s">
        <v>373</v>
      </c>
      <c r="AE13" s="359"/>
      <c r="AF13" s="359"/>
      <c r="AG13" s="359"/>
      <c r="AH13" s="359"/>
      <c r="AI13" s="359"/>
      <c r="AJ13" s="359"/>
      <c r="AK13" s="359"/>
      <c r="AL13" s="359"/>
      <c r="AM13" s="359"/>
      <c r="AN13" s="359"/>
      <c r="AO13" s="359"/>
      <c r="AP13" s="359"/>
      <c r="AQ13" s="359"/>
      <c r="AR13" s="359"/>
      <c r="AS13" s="359"/>
      <c r="AT13" s="359"/>
      <c r="AU13" s="359"/>
      <c r="AV13" s="359"/>
      <c r="AW13" s="359"/>
      <c r="AX13" s="359"/>
      <c r="AY13" s="359"/>
      <c r="AZ13" s="369">
        <f t="shared" si="0"/>
        <v>10326772</v>
      </c>
      <c r="BA13" s="369">
        <f t="shared" si="1"/>
        <v>9233588</v>
      </c>
      <c r="BB13" s="369">
        <f t="shared" si="2"/>
        <v>9233588</v>
      </c>
    </row>
    <row r="14" spans="1:54" ht="15.75" x14ac:dyDescent="0.2">
      <c r="A14" s="323"/>
      <c r="B14" s="325" t="s">
        <v>871</v>
      </c>
      <c r="C14" s="327" t="s">
        <v>872</v>
      </c>
      <c r="D14" s="359"/>
      <c r="E14" s="359"/>
      <c r="F14" s="359"/>
      <c r="G14" s="359"/>
      <c r="H14" s="359"/>
      <c r="I14" s="359"/>
      <c r="J14" s="359">
        <v>39864247</v>
      </c>
      <c r="K14" s="359">
        <v>40632353</v>
      </c>
      <c r="L14" s="359">
        <v>40632353</v>
      </c>
      <c r="M14" s="359">
        <v>193464555</v>
      </c>
      <c r="N14" s="359">
        <v>192985216</v>
      </c>
      <c r="O14" s="359">
        <v>192985216</v>
      </c>
      <c r="P14" s="359"/>
      <c r="Q14" s="359"/>
      <c r="R14" s="359"/>
      <c r="S14" s="359"/>
      <c r="T14" s="359">
        <v>701887</v>
      </c>
      <c r="U14" s="359">
        <v>701887</v>
      </c>
      <c r="V14" s="359"/>
      <c r="W14" s="359"/>
      <c r="X14" s="359"/>
      <c r="Y14" s="359"/>
      <c r="Z14" s="359"/>
      <c r="AA14" s="359"/>
      <c r="AB14" s="323"/>
      <c r="AC14" s="325" t="s">
        <v>871</v>
      </c>
      <c r="AD14" s="327" t="s">
        <v>872</v>
      </c>
      <c r="AE14" s="359"/>
      <c r="AF14" s="359"/>
      <c r="AG14" s="359"/>
      <c r="AH14" s="359"/>
      <c r="AI14" s="359"/>
      <c r="AJ14" s="359"/>
      <c r="AK14" s="359"/>
      <c r="AL14" s="359"/>
      <c r="AM14" s="359"/>
      <c r="AN14" s="359"/>
      <c r="AO14" s="359"/>
      <c r="AP14" s="359"/>
      <c r="AQ14" s="359"/>
      <c r="AR14" s="359"/>
      <c r="AS14" s="359"/>
      <c r="AT14" s="359"/>
      <c r="AU14" s="359"/>
      <c r="AV14" s="359"/>
      <c r="AW14" s="359"/>
      <c r="AX14" s="359"/>
      <c r="AY14" s="359"/>
      <c r="AZ14" s="369">
        <f t="shared" si="0"/>
        <v>233328802</v>
      </c>
      <c r="BA14" s="369">
        <f t="shared" si="1"/>
        <v>234319456</v>
      </c>
      <c r="BB14" s="369">
        <f t="shared" si="2"/>
        <v>234319456</v>
      </c>
    </row>
    <row r="15" spans="1:54" ht="15.75" x14ac:dyDescent="0.2">
      <c r="A15" s="323"/>
      <c r="B15" s="325" t="s">
        <v>374</v>
      </c>
      <c r="C15" s="327" t="s">
        <v>375</v>
      </c>
      <c r="D15" s="359"/>
      <c r="E15" s="359"/>
      <c r="F15" s="359"/>
      <c r="G15" s="359"/>
      <c r="H15" s="359"/>
      <c r="I15" s="359"/>
      <c r="J15" s="359"/>
      <c r="K15" s="359"/>
      <c r="L15" s="359"/>
      <c r="M15" s="359"/>
      <c r="N15" s="359"/>
      <c r="O15" s="359"/>
      <c r="P15" s="359"/>
      <c r="Q15" s="359"/>
      <c r="R15" s="359"/>
      <c r="S15" s="359">
        <v>63500</v>
      </c>
      <c r="T15" s="359">
        <v>944723</v>
      </c>
      <c r="U15" s="359">
        <v>944723</v>
      </c>
      <c r="V15" s="359"/>
      <c r="W15" s="359"/>
      <c r="X15" s="359"/>
      <c r="Y15" s="359"/>
      <c r="Z15" s="359"/>
      <c r="AA15" s="359"/>
      <c r="AB15" s="323"/>
      <c r="AC15" s="325" t="s">
        <v>374</v>
      </c>
      <c r="AD15" s="327" t="s">
        <v>375</v>
      </c>
      <c r="AE15" s="359"/>
      <c r="AF15" s="359"/>
      <c r="AG15" s="359"/>
      <c r="AH15" s="359"/>
      <c r="AI15" s="359"/>
      <c r="AJ15" s="359"/>
      <c r="AK15" s="359">
        <v>30000</v>
      </c>
      <c r="AL15" s="359">
        <v>30000</v>
      </c>
      <c r="AM15" s="359">
        <v>30000</v>
      </c>
      <c r="AN15" s="359"/>
      <c r="AO15" s="359"/>
      <c r="AP15" s="359"/>
      <c r="AQ15" s="359"/>
      <c r="AR15" s="359"/>
      <c r="AS15" s="359"/>
      <c r="AT15" s="359"/>
      <c r="AU15" s="359"/>
      <c r="AV15" s="359"/>
      <c r="AW15" s="359"/>
      <c r="AX15" s="359"/>
      <c r="AY15" s="359"/>
      <c r="AZ15" s="369">
        <f t="shared" si="0"/>
        <v>93500</v>
      </c>
      <c r="BA15" s="369">
        <f t="shared" si="1"/>
        <v>974723</v>
      </c>
      <c r="BB15" s="369">
        <f t="shared" si="2"/>
        <v>974723</v>
      </c>
    </row>
    <row r="16" spans="1:54" ht="15.75" x14ac:dyDescent="0.2">
      <c r="A16" s="323"/>
      <c r="B16" s="325" t="s">
        <v>873</v>
      </c>
      <c r="C16" s="327" t="s">
        <v>874</v>
      </c>
      <c r="D16" s="359"/>
      <c r="E16" s="359"/>
      <c r="F16" s="359"/>
      <c r="G16" s="359"/>
      <c r="H16" s="359"/>
      <c r="I16" s="359"/>
      <c r="J16" s="359"/>
      <c r="K16" s="359">
        <v>47213737</v>
      </c>
      <c r="L16" s="359">
        <v>47213737</v>
      </c>
      <c r="M16" s="359"/>
      <c r="N16" s="359">
        <v>433111985</v>
      </c>
      <c r="O16" s="359">
        <v>433111985</v>
      </c>
      <c r="P16" s="359"/>
      <c r="Q16" s="359"/>
      <c r="R16" s="359"/>
      <c r="S16" s="359"/>
      <c r="T16" s="359"/>
      <c r="U16" s="359"/>
      <c r="V16" s="359"/>
      <c r="W16" s="359"/>
      <c r="X16" s="359"/>
      <c r="Y16" s="359"/>
      <c r="Z16" s="359"/>
      <c r="AA16" s="359"/>
      <c r="AB16" s="323"/>
      <c r="AC16" s="325" t="s">
        <v>873</v>
      </c>
      <c r="AD16" s="327" t="s">
        <v>874</v>
      </c>
      <c r="AE16" s="359"/>
      <c r="AF16" s="359"/>
      <c r="AG16" s="359"/>
      <c r="AH16" s="359"/>
      <c r="AI16" s="359"/>
      <c r="AJ16" s="359"/>
      <c r="AK16" s="359"/>
      <c r="AL16" s="359"/>
      <c r="AM16" s="359"/>
      <c r="AN16" s="359"/>
      <c r="AO16" s="359"/>
      <c r="AP16" s="359"/>
      <c r="AQ16" s="359"/>
      <c r="AR16" s="359"/>
      <c r="AS16" s="359"/>
      <c r="AT16" s="359"/>
      <c r="AU16" s="359"/>
      <c r="AV16" s="359"/>
      <c r="AW16" s="359"/>
      <c r="AX16" s="359"/>
      <c r="AY16" s="359"/>
      <c r="AZ16" s="369">
        <f t="shared" si="0"/>
        <v>0</v>
      </c>
      <c r="BA16" s="369">
        <f t="shared" si="1"/>
        <v>480325722</v>
      </c>
      <c r="BB16" s="369">
        <f t="shared" si="2"/>
        <v>480325722</v>
      </c>
    </row>
    <row r="17" spans="1:54" ht="15.75" x14ac:dyDescent="0.2">
      <c r="A17" s="323"/>
      <c r="B17" s="325" t="s">
        <v>376</v>
      </c>
      <c r="C17" s="327" t="s">
        <v>377</v>
      </c>
      <c r="D17" s="359"/>
      <c r="E17" s="359"/>
      <c r="F17" s="359"/>
      <c r="G17" s="359"/>
      <c r="H17" s="359"/>
      <c r="I17" s="359"/>
      <c r="J17" s="359"/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59"/>
      <c r="W17" s="359"/>
      <c r="X17" s="359"/>
      <c r="Y17" s="359"/>
      <c r="Z17" s="359"/>
      <c r="AA17" s="359"/>
      <c r="AB17" s="323"/>
      <c r="AC17" s="325" t="s">
        <v>376</v>
      </c>
      <c r="AD17" s="327" t="s">
        <v>377</v>
      </c>
      <c r="AE17" s="359"/>
      <c r="AF17" s="359"/>
      <c r="AG17" s="359"/>
      <c r="AH17" s="359"/>
      <c r="AI17" s="359"/>
      <c r="AJ17" s="359"/>
      <c r="AK17" s="359"/>
      <c r="AL17" s="359"/>
      <c r="AM17" s="359"/>
      <c r="AN17" s="359"/>
      <c r="AO17" s="359"/>
      <c r="AP17" s="359"/>
      <c r="AQ17" s="359"/>
      <c r="AR17" s="359"/>
      <c r="AS17" s="359"/>
      <c r="AT17" s="359"/>
      <c r="AU17" s="359"/>
      <c r="AV17" s="359"/>
      <c r="AW17" s="359"/>
      <c r="AX17" s="359"/>
      <c r="AY17" s="359"/>
      <c r="AZ17" s="369">
        <f t="shared" si="0"/>
        <v>0</v>
      </c>
      <c r="BA17" s="369">
        <f t="shared" si="1"/>
        <v>0</v>
      </c>
      <c r="BB17" s="369">
        <f t="shared" si="2"/>
        <v>0</v>
      </c>
    </row>
    <row r="18" spans="1:54" ht="15.75" x14ac:dyDescent="0.2">
      <c r="A18" s="323"/>
      <c r="B18" s="330"/>
      <c r="C18" s="331" t="s">
        <v>378</v>
      </c>
      <c r="D18" s="364">
        <f t="shared" ref="D18" si="28">SUM(D13:D17)</f>
        <v>0</v>
      </c>
      <c r="E18" s="364">
        <f t="shared" ref="E18:Z18" si="29">SUM(E13:E17)</f>
        <v>0</v>
      </c>
      <c r="F18" s="364">
        <f t="shared" ref="F18" si="30">SUM(F13:F17)</f>
        <v>0</v>
      </c>
      <c r="G18" s="364">
        <f t="shared" ref="G18" si="31">SUM(G13:G17)</f>
        <v>0</v>
      </c>
      <c r="H18" s="364">
        <f t="shared" si="29"/>
        <v>0</v>
      </c>
      <c r="I18" s="364">
        <f t="shared" ref="I18" si="32">SUM(I13:I17)</f>
        <v>0</v>
      </c>
      <c r="J18" s="364">
        <f t="shared" ref="J18" si="33">SUM(J13:J17)</f>
        <v>50191019</v>
      </c>
      <c r="K18" s="364">
        <f t="shared" si="29"/>
        <v>97079678</v>
      </c>
      <c r="L18" s="364">
        <f t="shared" ref="L18" si="34">SUM(L13:L17)</f>
        <v>97079678</v>
      </c>
      <c r="M18" s="364">
        <f t="shared" ref="M18" si="35">SUM(M13:M17)</f>
        <v>193464555</v>
      </c>
      <c r="N18" s="364">
        <f t="shared" si="29"/>
        <v>626097201</v>
      </c>
      <c r="O18" s="364">
        <f t="shared" ref="O18" si="36">SUM(O13:O17)</f>
        <v>626097201</v>
      </c>
      <c r="P18" s="364">
        <f t="shared" ref="P18" si="37">SUM(P13:P17)</f>
        <v>0</v>
      </c>
      <c r="Q18" s="364">
        <f t="shared" si="29"/>
        <v>0</v>
      </c>
      <c r="R18" s="364">
        <f t="shared" ref="R18" si="38">SUM(R13:R17)</f>
        <v>0</v>
      </c>
      <c r="S18" s="364">
        <f t="shared" ref="S18" si="39">SUM(S13:S17)</f>
        <v>63500</v>
      </c>
      <c r="T18" s="364">
        <f t="shared" si="29"/>
        <v>1646610</v>
      </c>
      <c r="U18" s="364">
        <f t="shared" ref="U18" si="40">SUM(U13:U17)</f>
        <v>1646610</v>
      </c>
      <c r="V18" s="364">
        <f t="shared" ref="V18" si="41">SUM(V13:V17)</f>
        <v>0</v>
      </c>
      <c r="W18" s="364">
        <f t="shared" si="29"/>
        <v>0</v>
      </c>
      <c r="X18" s="364">
        <f t="shared" ref="X18" si="42">SUM(X13:X17)</f>
        <v>0</v>
      </c>
      <c r="Y18" s="364">
        <f t="shared" ref="Y18" si="43">SUM(Y13:Y17)</f>
        <v>0</v>
      </c>
      <c r="Z18" s="364">
        <f t="shared" si="29"/>
        <v>0</v>
      </c>
      <c r="AA18" s="364">
        <f t="shared" ref="AA18" si="44">SUM(AA13:AA17)</f>
        <v>0</v>
      </c>
      <c r="AB18" s="323"/>
      <c r="AC18" s="330"/>
      <c r="AD18" s="331" t="s">
        <v>378</v>
      </c>
      <c r="AE18" s="364">
        <f t="shared" ref="AE18" si="45">SUM(AE13:AE17)</f>
        <v>0</v>
      </c>
      <c r="AF18" s="364">
        <f t="shared" ref="AF18:AY18" si="46">SUM(AF13:AF17)</f>
        <v>0</v>
      </c>
      <c r="AG18" s="364">
        <f t="shared" si="46"/>
        <v>0</v>
      </c>
      <c r="AH18" s="364">
        <f t="shared" si="46"/>
        <v>0</v>
      </c>
      <c r="AI18" s="364">
        <f t="shared" si="46"/>
        <v>0</v>
      </c>
      <c r="AJ18" s="364">
        <f t="shared" si="46"/>
        <v>0</v>
      </c>
      <c r="AK18" s="364">
        <f t="shared" si="46"/>
        <v>30000</v>
      </c>
      <c r="AL18" s="364">
        <f t="shared" si="46"/>
        <v>30000</v>
      </c>
      <c r="AM18" s="364">
        <f t="shared" si="46"/>
        <v>30000</v>
      </c>
      <c r="AN18" s="364">
        <f t="shared" si="46"/>
        <v>0</v>
      </c>
      <c r="AO18" s="364">
        <f t="shared" si="46"/>
        <v>0</v>
      </c>
      <c r="AP18" s="364">
        <f t="shared" si="46"/>
        <v>0</v>
      </c>
      <c r="AQ18" s="364">
        <f t="shared" si="46"/>
        <v>0</v>
      </c>
      <c r="AR18" s="364">
        <f t="shared" si="46"/>
        <v>0</v>
      </c>
      <c r="AS18" s="364">
        <f t="shared" si="46"/>
        <v>0</v>
      </c>
      <c r="AT18" s="364">
        <f t="shared" si="46"/>
        <v>0</v>
      </c>
      <c r="AU18" s="364">
        <f t="shared" si="46"/>
        <v>0</v>
      </c>
      <c r="AV18" s="364">
        <f t="shared" si="46"/>
        <v>0</v>
      </c>
      <c r="AW18" s="364">
        <f t="shared" si="46"/>
        <v>0</v>
      </c>
      <c r="AX18" s="364">
        <f t="shared" si="46"/>
        <v>0</v>
      </c>
      <c r="AY18" s="364">
        <f t="shared" si="46"/>
        <v>0</v>
      </c>
      <c r="AZ18" s="364">
        <f t="shared" si="0"/>
        <v>243749074</v>
      </c>
      <c r="BA18" s="364">
        <f t="shared" si="1"/>
        <v>724853489</v>
      </c>
      <c r="BB18" s="364">
        <f t="shared" si="2"/>
        <v>724853489</v>
      </c>
    </row>
    <row r="19" spans="1:54" ht="15.75" x14ac:dyDescent="0.2">
      <c r="A19" s="332" t="s">
        <v>379</v>
      </c>
      <c r="B19" s="326"/>
      <c r="C19" s="332" t="s">
        <v>380</v>
      </c>
      <c r="D19" s="359"/>
      <c r="E19" s="359"/>
      <c r="F19" s="359"/>
      <c r="G19" s="359"/>
      <c r="H19" s="359"/>
      <c r="I19" s="359"/>
      <c r="J19" s="359"/>
      <c r="K19" s="359"/>
      <c r="L19" s="359"/>
      <c r="M19" s="359"/>
      <c r="N19" s="359"/>
      <c r="O19" s="359"/>
      <c r="P19" s="359"/>
      <c r="Q19" s="359"/>
      <c r="R19" s="359"/>
      <c r="S19" s="359"/>
      <c r="T19" s="359"/>
      <c r="U19" s="359"/>
      <c r="V19" s="359"/>
      <c r="W19" s="359"/>
      <c r="X19" s="359"/>
      <c r="Y19" s="359"/>
      <c r="Z19" s="359"/>
      <c r="AA19" s="359"/>
      <c r="AB19" s="332" t="s">
        <v>379</v>
      </c>
      <c r="AC19" s="326"/>
      <c r="AD19" s="332" t="s">
        <v>380</v>
      </c>
      <c r="AE19" s="359"/>
      <c r="AF19" s="359"/>
      <c r="AG19" s="359"/>
      <c r="AH19" s="359"/>
      <c r="AI19" s="359"/>
      <c r="AJ19" s="359"/>
      <c r="AK19" s="359"/>
      <c r="AL19" s="359"/>
      <c r="AM19" s="359"/>
      <c r="AN19" s="359"/>
      <c r="AO19" s="359"/>
      <c r="AP19" s="359"/>
      <c r="AQ19" s="359"/>
      <c r="AR19" s="359"/>
      <c r="AS19" s="359"/>
      <c r="AT19" s="359"/>
      <c r="AU19" s="359"/>
      <c r="AV19" s="359"/>
      <c r="AW19" s="359"/>
      <c r="AX19" s="359"/>
      <c r="AY19" s="359"/>
      <c r="AZ19" s="369">
        <f t="shared" si="0"/>
        <v>0</v>
      </c>
      <c r="BA19" s="369">
        <f t="shared" si="1"/>
        <v>0</v>
      </c>
      <c r="BB19" s="369">
        <f t="shared" si="2"/>
        <v>0</v>
      </c>
    </row>
    <row r="20" spans="1:54" ht="15.75" x14ac:dyDescent="0.2">
      <c r="A20" s="323"/>
      <c r="B20" s="325" t="s">
        <v>381</v>
      </c>
      <c r="C20" s="327" t="s">
        <v>382</v>
      </c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359"/>
      <c r="P20" s="359"/>
      <c r="Q20" s="359"/>
      <c r="R20" s="359"/>
      <c r="S20" s="359">
        <v>472000</v>
      </c>
      <c r="T20" s="359">
        <v>677000</v>
      </c>
      <c r="U20" s="359">
        <v>676611</v>
      </c>
      <c r="V20" s="359"/>
      <c r="W20" s="359"/>
      <c r="X20" s="359"/>
      <c r="Y20" s="359"/>
      <c r="Z20" s="359"/>
      <c r="AA20" s="359"/>
      <c r="AB20" s="323"/>
      <c r="AC20" s="325" t="s">
        <v>381</v>
      </c>
      <c r="AD20" s="327" t="s">
        <v>382</v>
      </c>
      <c r="AE20" s="359"/>
      <c r="AF20" s="359"/>
      <c r="AG20" s="359"/>
      <c r="AH20" s="359"/>
      <c r="AI20" s="359"/>
      <c r="AJ20" s="359"/>
      <c r="AK20" s="359"/>
      <c r="AL20" s="359"/>
      <c r="AM20" s="359"/>
      <c r="AN20" s="359"/>
      <c r="AO20" s="359"/>
      <c r="AP20" s="359"/>
      <c r="AQ20" s="359"/>
      <c r="AR20" s="359"/>
      <c r="AS20" s="359"/>
      <c r="AT20" s="359"/>
      <c r="AU20" s="359"/>
      <c r="AV20" s="359"/>
      <c r="AW20" s="359"/>
      <c r="AX20" s="359"/>
      <c r="AY20" s="359"/>
      <c r="AZ20" s="369">
        <f t="shared" si="0"/>
        <v>472000</v>
      </c>
      <c r="BA20" s="369">
        <f t="shared" si="1"/>
        <v>677000</v>
      </c>
      <c r="BB20" s="369">
        <f t="shared" si="2"/>
        <v>676611</v>
      </c>
    </row>
    <row r="21" spans="1:54" ht="15.75" x14ac:dyDescent="0.2">
      <c r="A21" s="323"/>
      <c r="B21" s="325" t="s">
        <v>383</v>
      </c>
      <c r="C21" s="327" t="s">
        <v>384</v>
      </c>
      <c r="D21" s="359"/>
      <c r="E21" s="359"/>
      <c r="F21" s="359"/>
      <c r="G21" s="359"/>
      <c r="H21" s="359"/>
      <c r="I21" s="359"/>
      <c r="J21" s="359"/>
      <c r="K21" s="359"/>
      <c r="L21" s="359"/>
      <c r="M21" s="359"/>
      <c r="N21" s="359"/>
      <c r="O21" s="359"/>
      <c r="P21" s="359"/>
      <c r="Q21" s="359"/>
      <c r="R21" s="359"/>
      <c r="S21" s="359">
        <v>32921000</v>
      </c>
      <c r="T21" s="359">
        <v>24742141</v>
      </c>
      <c r="U21" s="359">
        <v>10930771</v>
      </c>
      <c r="V21" s="359"/>
      <c r="W21" s="359"/>
      <c r="X21" s="359"/>
      <c r="Y21" s="359"/>
      <c r="Z21" s="359"/>
      <c r="AA21" s="359"/>
      <c r="AB21" s="323"/>
      <c r="AC21" s="325" t="s">
        <v>383</v>
      </c>
      <c r="AD21" s="327" t="s">
        <v>384</v>
      </c>
      <c r="AE21" s="359"/>
      <c r="AF21" s="359"/>
      <c r="AG21" s="359"/>
      <c r="AH21" s="359"/>
      <c r="AI21" s="359"/>
      <c r="AJ21" s="359"/>
      <c r="AK21" s="359">
        <v>30000</v>
      </c>
      <c r="AL21" s="359">
        <v>1494061</v>
      </c>
      <c r="AM21" s="359">
        <v>1494061</v>
      </c>
      <c r="AN21" s="359"/>
      <c r="AO21" s="359"/>
      <c r="AP21" s="359"/>
      <c r="AQ21" s="359"/>
      <c r="AR21" s="359"/>
      <c r="AS21" s="359"/>
      <c r="AT21" s="359"/>
      <c r="AU21" s="359"/>
      <c r="AV21" s="359"/>
      <c r="AW21" s="359"/>
      <c r="AX21" s="359"/>
      <c r="AY21" s="359"/>
      <c r="AZ21" s="369">
        <f t="shared" si="0"/>
        <v>32951000</v>
      </c>
      <c r="BA21" s="369">
        <f t="shared" si="1"/>
        <v>26236202</v>
      </c>
      <c r="BB21" s="369">
        <f t="shared" si="2"/>
        <v>12424832</v>
      </c>
    </row>
    <row r="22" spans="1:54" ht="15.75" x14ac:dyDescent="0.2">
      <c r="A22" s="323"/>
      <c r="B22" s="325" t="s">
        <v>875</v>
      </c>
      <c r="C22" s="327" t="s">
        <v>876</v>
      </c>
      <c r="D22" s="359"/>
      <c r="E22" s="359"/>
      <c r="F22" s="359"/>
      <c r="G22" s="359"/>
      <c r="H22" s="359"/>
      <c r="I22" s="359"/>
      <c r="J22" s="359"/>
      <c r="K22" s="359">
        <v>223740</v>
      </c>
      <c r="L22" s="359">
        <v>223740</v>
      </c>
      <c r="M22" s="359"/>
      <c r="N22" s="359"/>
      <c r="O22" s="359"/>
      <c r="P22" s="359"/>
      <c r="Q22" s="359"/>
      <c r="R22" s="359"/>
      <c r="S22" s="359"/>
      <c r="T22" s="359"/>
      <c r="U22" s="359"/>
      <c r="V22" s="359"/>
      <c r="W22" s="359"/>
      <c r="X22" s="359"/>
      <c r="Y22" s="359"/>
      <c r="Z22" s="359"/>
      <c r="AA22" s="359"/>
      <c r="AB22" s="323"/>
      <c r="AC22" s="325" t="s">
        <v>875</v>
      </c>
      <c r="AD22" s="327" t="s">
        <v>876</v>
      </c>
      <c r="AE22" s="359"/>
      <c r="AF22" s="359"/>
      <c r="AG22" s="359"/>
      <c r="AH22" s="359"/>
      <c r="AI22" s="359"/>
      <c r="AJ22" s="359"/>
      <c r="AK22" s="359"/>
      <c r="AL22" s="359"/>
      <c r="AM22" s="359"/>
      <c r="AN22" s="359"/>
      <c r="AO22" s="359"/>
      <c r="AP22" s="359"/>
      <c r="AQ22" s="359"/>
      <c r="AR22" s="359"/>
      <c r="AS22" s="359"/>
      <c r="AT22" s="359"/>
      <c r="AU22" s="359"/>
      <c r="AV22" s="359"/>
      <c r="AW22" s="359"/>
      <c r="AX22" s="359"/>
      <c r="AY22" s="359"/>
      <c r="AZ22" s="369">
        <f t="shared" si="0"/>
        <v>0</v>
      </c>
      <c r="BA22" s="369">
        <f t="shared" si="1"/>
        <v>223740</v>
      </c>
      <c r="BB22" s="369">
        <f t="shared" si="2"/>
        <v>223740</v>
      </c>
    </row>
    <row r="23" spans="1:54" ht="15.75" x14ac:dyDescent="0.2">
      <c r="A23" s="323"/>
      <c r="B23" s="330"/>
      <c r="C23" s="331" t="s">
        <v>385</v>
      </c>
      <c r="D23" s="364">
        <f>SUM(D20:D22)</f>
        <v>0</v>
      </c>
      <c r="E23" s="364">
        <f t="shared" ref="E23:AA23" si="47">SUM(E20:E22)</f>
        <v>0</v>
      </c>
      <c r="F23" s="364">
        <f t="shared" si="47"/>
        <v>0</v>
      </c>
      <c r="G23" s="364">
        <f t="shared" si="47"/>
        <v>0</v>
      </c>
      <c r="H23" s="364">
        <f t="shared" si="47"/>
        <v>0</v>
      </c>
      <c r="I23" s="364">
        <f t="shared" si="47"/>
        <v>0</v>
      </c>
      <c r="J23" s="364">
        <f t="shared" si="47"/>
        <v>0</v>
      </c>
      <c r="K23" s="364">
        <f t="shared" si="47"/>
        <v>223740</v>
      </c>
      <c r="L23" s="364">
        <f t="shared" si="47"/>
        <v>223740</v>
      </c>
      <c r="M23" s="364">
        <f t="shared" si="47"/>
        <v>0</v>
      </c>
      <c r="N23" s="364">
        <f t="shared" si="47"/>
        <v>0</v>
      </c>
      <c r="O23" s="364">
        <f t="shared" si="47"/>
        <v>0</v>
      </c>
      <c r="P23" s="364">
        <f t="shared" si="47"/>
        <v>0</v>
      </c>
      <c r="Q23" s="364">
        <f t="shared" si="47"/>
        <v>0</v>
      </c>
      <c r="R23" s="364">
        <f t="shared" si="47"/>
        <v>0</v>
      </c>
      <c r="S23" s="364">
        <f t="shared" si="47"/>
        <v>33393000</v>
      </c>
      <c r="T23" s="364">
        <f t="shared" si="47"/>
        <v>25419141</v>
      </c>
      <c r="U23" s="364">
        <f t="shared" si="47"/>
        <v>11607382</v>
      </c>
      <c r="V23" s="364">
        <f t="shared" si="47"/>
        <v>0</v>
      </c>
      <c r="W23" s="364">
        <f t="shared" si="47"/>
        <v>0</v>
      </c>
      <c r="X23" s="364">
        <f t="shared" si="47"/>
        <v>0</v>
      </c>
      <c r="Y23" s="364">
        <f t="shared" si="47"/>
        <v>0</v>
      </c>
      <c r="Z23" s="364">
        <f t="shared" si="47"/>
        <v>0</v>
      </c>
      <c r="AA23" s="364">
        <f t="shared" si="47"/>
        <v>0</v>
      </c>
      <c r="AB23" s="323"/>
      <c r="AC23" s="330"/>
      <c r="AD23" s="331" t="s">
        <v>385</v>
      </c>
      <c r="AE23" s="364">
        <f t="shared" ref="AE23:BB23" si="48">SUM(AE20:AE22)</f>
        <v>0</v>
      </c>
      <c r="AF23" s="364">
        <f t="shared" si="48"/>
        <v>0</v>
      </c>
      <c r="AG23" s="364">
        <f t="shared" si="48"/>
        <v>0</v>
      </c>
      <c r="AH23" s="364">
        <f t="shared" si="48"/>
        <v>0</v>
      </c>
      <c r="AI23" s="364">
        <f t="shared" si="48"/>
        <v>0</v>
      </c>
      <c r="AJ23" s="364">
        <f t="shared" si="48"/>
        <v>0</v>
      </c>
      <c r="AK23" s="364">
        <f t="shared" si="48"/>
        <v>30000</v>
      </c>
      <c r="AL23" s="364">
        <f t="shared" si="48"/>
        <v>1494061</v>
      </c>
      <c r="AM23" s="364">
        <f t="shared" si="48"/>
        <v>1494061</v>
      </c>
      <c r="AN23" s="364">
        <f t="shared" si="48"/>
        <v>0</v>
      </c>
      <c r="AO23" s="364">
        <f t="shared" si="48"/>
        <v>0</v>
      </c>
      <c r="AP23" s="364">
        <f t="shared" si="48"/>
        <v>0</v>
      </c>
      <c r="AQ23" s="364">
        <f t="shared" si="48"/>
        <v>0</v>
      </c>
      <c r="AR23" s="364">
        <f t="shared" si="48"/>
        <v>0</v>
      </c>
      <c r="AS23" s="364">
        <f t="shared" si="48"/>
        <v>0</v>
      </c>
      <c r="AT23" s="364">
        <f t="shared" si="48"/>
        <v>0</v>
      </c>
      <c r="AU23" s="364">
        <f t="shared" si="48"/>
        <v>0</v>
      </c>
      <c r="AV23" s="364">
        <f t="shared" si="48"/>
        <v>0</v>
      </c>
      <c r="AW23" s="364">
        <f t="shared" si="48"/>
        <v>0</v>
      </c>
      <c r="AX23" s="364">
        <f t="shared" si="48"/>
        <v>0</v>
      </c>
      <c r="AY23" s="364">
        <f t="shared" si="48"/>
        <v>0</v>
      </c>
      <c r="AZ23" s="364">
        <f t="shared" si="48"/>
        <v>33423000</v>
      </c>
      <c r="BA23" s="364">
        <f t="shared" si="48"/>
        <v>27136942</v>
      </c>
      <c r="BB23" s="364">
        <f t="shared" si="48"/>
        <v>13325183</v>
      </c>
    </row>
    <row r="24" spans="1:54" ht="15.75" x14ac:dyDescent="0.2">
      <c r="A24" s="334" t="s">
        <v>386</v>
      </c>
      <c r="B24" s="326"/>
      <c r="C24" s="332" t="s">
        <v>387</v>
      </c>
      <c r="D24" s="359"/>
      <c r="E24" s="359"/>
      <c r="F24" s="359"/>
      <c r="G24" s="359"/>
      <c r="H24" s="359"/>
      <c r="I24" s="359"/>
      <c r="J24" s="359"/>
      <c r="K24" s="359"/>
      <c r="L24" s="359"/>
      <c r="M24" s="359"/>
      <c r="N24" s="359"/>
      <c r="O24" s="359"/>
      <c r="P24" s="359"/>
      <c r="Q24" s="359"/>
      <c r="R24" s="359"/>
      <c r="S24" s="359"/>
      <c r="T24" s="359"/>
      <c r="U24" s="359"/>
      <c r="V24" s="359"/>
      <c r="W24" s="359"/>
      <c r="X24" s="359"/>
      <c r="Y24" s="359"/>
      <c r="Z24" s="359"/>
      <c r="AA24" s="359"/>
      <c r="AB24" s="334" t="s">
        <v>386</v>
      </c>
      <c r="AC24" s="326"/>
      <c r="AD24" s="332" t="s">
        <v>387</v>
      </c>
      <c r="AE24" s="359"/>
      <c r="AF24" s="359"/>
      <c r="AG24" s="359"/>
      <c r="AH24" s="359"/>
      <c r="AI24" s="359"/>
      <c r="AJ24" s="359"/>
      <c r="AK24" s="359"/>
      <c r="AL24" s="359"/>
      <c r="AM24" s="359"/>
      <c r="AN24" s="359"/>
      <c r="AO24" s="359"/>
      <c r="AP24" s="359"/>
      <c r="AQ24" s="359"/>
      <c r="AR24" s="359"/>
      <c r="AS24" s="359"/>
      <c r="AT24" s="359"/>
      <c r="AU24" s="359"/>
      <c r="AV24" s="359"/>
      <c r="AW24" s="359"/>
      <c r="AX24" s="359"/>
      <c r="AY24" s="359"/>
      <c r="AZ24" s="369">
        <f t="shared" ref="AZ24:AZ59" si="49">SUM(D24+G24+J24+M24+P24+S24+V24+Y24+AE24+AH24+AK24+AN24+AQ24+AW24+AT24)</f>
        <v>0</v>
      </c>
      <c r="BA24" s="369">
        <f t="shared" ref="BA24:BA59" si="50">SUM(E24+H24+K24+N24+Q24+T24+W24+Z24+AF24+AI24+AL24+AO24+AR24+AX24+AU24)</f>
        <v>0</v>
      </c>
      <c r="BB24" s="369">
        <f t="shared" ref="BB24:BB59" si="51">SUM(F24+I24+L24+O24+R24+U24+X24+AA24+AG24+AJ24+AM24+AP24+AS24+AY24+AV24)</f>
        <v>0</v>
      </c>
    </row>
    <row r="25" spans="1:54" ht="15.75" x14ac:dyDescent="0.2">
      <c r="A25" s="329"/>
      <c r="B25" s="325" t="s">
        <v>388</v>
      </c>
      <c r="C25" s="326" t="s">
        <v>389</v>
      </c>
      <c r="D25" s="359"/>
      <c r="E25" s="359"/>
      <c r="F25" s="359"/>
      <c r="G25" s="359"/>
      <c r="H25" s="359"/>
      <c r="I25" s="359"/>
      <c r="J25" s="359"/>
      <c r="K25" s="359"/>
      <c r="L25" s="359"/>
      <c r="M25" s="359"/>
      <c r="N25" s="362"/>
      <c r="O25" s="359"/>
      <c r="P25" s="359"/>
      <c r="Q25" s="362"/>
      <c r="R25" s="359"/>
      <c r="S25" s="362"/>
      <c r="T25" s="360">
        <v>3000</v>
      </c>
      <c r="U25" s="359">
        <v>2898</v>
      </c>
      <c r="V25" s="359"/>
      <c r="W25" s="362"/>
      <c r="X25" s="359"/>
      <c r="Y25" s="359"/>
      <c r="Z25" s="362"/>
      <c r="AA25" s="359"/>
      <c r="AB25" s="329"/>
      <c r="AC25" s="325" t="s">
        <v>388</v>
      </c>
      <c r="AD25" s="326" t="s">
        <v>389</v>
      </c>
      <c r="AE25" s="359"/>
      <c r="AF25" s="362"/>
      <c r="AG25" s="359"/>
      <c r="AH25" s="359">
        <v>705000</v>
      </c>
      <c r="AI25" s="359">
        <v>1155145</v>
      </c>
      <c r="AJ25" s="359">
        <v>1155145</v>
      </c>
      <c r="AK25" s="359"/>
      <c r="AL25" s="359"/>
      <c r="AM25" s="359"/>
      <c r="AN25" s="359"/>
      <c r="AO25" s="359"/>
      <c r="AP25" s="359"/>
      <c r="AQ25" s="359"/>
      <c r="AR25" s="359"/>
      <c r="AS25" s="359"/>
      <c r="AT25" s="359"/>
      <c r="AU25" s="359"/>
      <c r="AV25" s="359"/>
      <c r="AW25" s="359"/>
      <c r="AX25" s="359"/>
      <c r="AY25" s="359"/>
      <c r="AZ25" s="369">
        <f t="shared" si="49"/>
        <v>705000</v>
      </c>
      <c r="BA25" s="369">
        <f t="shared" si="50"/>
        <v>1158145</v>
      </c>
      <c r="BB25" s="369">
        <f t="shared" si="51"/>
        <v>1158043</v>
      </c>
    </row>
    <row r="26" spans="1:54" ht="15.75" x14ac:dyDescent="0.2">
      <c r="A26" s="323"/>
      <c r="B26" s="325" t="s">
        <v>612</v>
      </c>
      <c r="C26" s="327" t="s">
        <v>390</v>
      </c>
      <c r="D26" s="359"/>
      <c r="E26" s="359"/>
      <c r="F26" s="359"/>
      <c r="G26" s="359"/>
      <c r="H26" s="359"/>
      <c r="I26" s="359"/>
      <c r="J26" s="359"/>
      <c r="K26" s="359"/>
      <c r="L26" s="359"/>
      <c r="M26" s="359"/>
      <c r="N26" s="359"/>
      <c r="O26" s="359"/>
      <c r="P26" s="359"/>
      <c r="Q26" s="359"/>
      <c r="R26" s="359"/>
      <c r="S26" s="359">
        <v>5745000</v>
      </c>
      <c r="T26" s="359">
        <v>10000000</v>
      </c>
      <c r="U26" s="359">
        <v>9554596</v>
      </c>
      <c r="V26" s="359"/>
      <c r="W26" s="359"/>
      <c r="X26" s="359"/>
      <c r="Y26" s="359"/>
      <c r="Z26" s="359"/>
      <c r="AA26" s="359"/>
      <c r="AB26" s="323"/>
      <c r="AC26" s="325" t="s">
        <v>612</v>
      </c>
      <c r="AD26" s="327" t="s">
        <v>390</v>
      </c>
      <c r="AE26" s="359"/>
      <c r="AF26" s="359"/>
      <c r="AG26" s="359"/>
      <c r="AH26" s="359"/>
      <c r="AI26" s="359"/>
      <c r="AJ26" s="359"/>
      <c r="AK26" s="359"/>
      <c r="AL26" s="359">
        <v>8133607</v>
      </c>
      <c r="AM26" s="359">
        <v>8133607</v>
      </c>
      <c r="AN26" s="359"/>
      <c r="AO26" s="359"/>
      <c r="AP26" s="359"/>
      <c r="AQ26" s="359"/>
      <c r="AR26" s="359"/>
      <c r="AS26" s="359"/>
      <c r="AT26" s="359"/>
      <c r="AU26" s="359"/>
      <c r="AV26" s="359"/>
      <c r="AW26" s="359"/>
      <c r="AX26" s="359"/>
      <c r="AY26" s="359"/>
      <c r="AZ26" s="369">
        <f t="shared" si="49"/>
        <v>5745000</v>
      </c>
      <c r="BA26" s="369">
        <f t="shared" si="50"/>
        <v>18133607</v>
      </c>
      <c r="BB26" s="369">
        <f t="shared" si="51"/>
        <v>17688203</v>
      </c>
    </row>
    <row r="27" spans="1:54" ht="15.75" x14ac:dyDescent="0.2">
      <c r="A27" s="323"/>
      <c r="B27" s="325" t="s">
        <v>391</v>
      </c>
      <c r="C27" s="327" t="s">
        <v>392</v>
      </c>
      <c r="D27" s="359"/>
      <c r="E27" s="359"/>
      <c r="F27" s="359"/>
      <c r="G27" s="359"/>
      <c r="H27" s="359"/>
      <c r="I27" s="359"/>
      <c r="J27" s="359"/>
      <c r="K27" s="359"/>
      <c r="L27" s="359"/>
      <c r="M27" s="359"/>
      <c r="N27" s="359"/>
      <c r="O27" s="359"/>
      <c r="P27" s="359"/>
      <c r="Q27" s="359"/>
      <c r="R27" s="359"/>
      <c r="S27" s="359"/>
      <c r="T27" s="359"/>
      <c r="U27" s="359"/>
      <c r="V27" s="359"/>
      <c r="W27" s="359"/>
      <c r="X27" s="359"/>
      <c r="Y27" s="359"/>
      <c r="Z27" s="359"/>
      <c r="AA27" s="359"/>
      <c r="AB27" s="323"/>
      <c r="AC27" s="325" t="s">
        <v>391</v>
      </c>
      <c r="AD27" s="327" t="s">
        <v>392</v>
      </c>
      <c r="AE27" s="359"/>
      <c r="AF27" s="359"/>
      <c r="AG27" s="359"/>
      <c r="AH27" s="359"/>
      <c r="AI27" s="359"/>
      <c r="AJ27" s="359"/>
      <c r="AK27" s="359"/>
      <c r="AL27" s="359"/>
      <c r="AM27" s="359"/>
      <c r="AN27" s="359"/>
      <c r="AO27" s="359"/>
      <c r="AP27" s="359"/>
      <c r="AQ27" s="359"/>
      <c r="AR27" s="359"/>
      <c r="AS27" s="359"/>
      <c r="AT27" s="359"/>
      <c r="AU27" s="359"/>
      <c r="AV27" s="359"/>
      <c r="AW27" s="359"/>
      <c r="AX27" s="359"/>
      <c r="AY27" s="359"/>
      <c r="AZ27" s="369">
        <f t="shared" si="49"/>
        <v>0</v>
      </c>
      <c r="BA27" s="369">
        <f t="shared" si="50"/>
        <v>0</v>
      </c>
      <c r="BB27" s="369">
        <f t="shared" si="51"/>
        <v>0</v>
      </c>
    </row>
    <row r="28" spans="1:54" ht="15.75" x14ac:dyDescent="0.2">
      <c r="A28" s="323"/>
      <c r="B28" s="325" t="s">
        <v>393</v>
      </c>
      <c r="C28" s="327" t="s">
        <v>394</v>
      </c>
      <c r="D28" s="359"/>
      <c r="E28" s="359"/>
      <c r="F28" s="359"/>
      <c r="G28" s="359"/>
      <c r="H28" s="359"/>
      <c r="I28" s="359"/>
      <c r="J28" s="359"/>
      <c r="K28" s="359"/>
      <c r="L28" s="359"/>
      <c r="M28" s="359"/>
      <c r="N28" s="359"/>
      <c r="O28" s="359"/>
      <c r="P28" s="359"/>
      <c r="Q28" s="359"/>
      <c r="R28" s="359"/>
      <c r="S28" s="359"/>
      <c r="T28" s="359"/>
      <c r="U28" s="359"/>
      <c r="V28" s="359"/>
      <c r="W28" s="359"/>
      <c r="X28" s="359"/>
      <c r="Y28" s="359"/>
      <c r="Z28" s="359"/>
      <c r="AA28" s="359"/>
      <c r="AB28" s="323"/>
      <c r="AC28" s="325" t="s">
        <v>393</v>
      </c>
      <c r="AD28" s="327" t="s">
        <v>394</v>
      </c>
      <c r="AE28" s="359"/>
      <c r="AF28" s="359"/>
      <c r="AG28" s="359"/>
      <c r="AH28" s="359"/>
      <c r="AI28" s="359"/>
      <c r="AJ28" s="359"/>
      <c r="AK28" s="359"/>
      <c r="AL28" s="359"/>
      <c r="AM28" s="359"/>
      <c r="AN28" s="359"/>
      <c r="AO28" s="359"/>
      <c r="AP28" s="359"/>
      <c r="AQ28" s="359"/>
      <c r="AR28" s="359"/>
      <c r="AS28" s="359"/>
      <c r="AT28" s="359"/>
      <c r="AU28" s="359"/>
      <c r="AV28" s="359"/>
      <c r="AW28" s="359"/>
      <c r="AX28" s="359"/>
      <c r="AY28" s="359"/>
      <c r="AZ28" s="369">
        <f t="shared" si="49"/>
        <v>0</v>
      </c>
      <c r="BA28" s="369">
        <f t="shared" si="50"/>
        <v>0</v>
      </c>
      <c r="BB28" s="369">
        <f t="shared" si="51"/>
        <v>0</v>
      </c>
    </row>
    <row r="29" spans="1:54" ht="15.75" x14ac:dyDescent="0.2">
      <c r="A29" s="323"/>
      <c r="B29" s="325" t="s">
        <v>395</v>
      </c>
      <c r="C29" s="327" t="s">
        <v>396</v>
      </c>
      <c r="D29" s="359"/>
      <c r="E29" s="359"/>
      <c r="F29" s="359"/>
      <c r="G29" s="359"/>
      <c r="H29" s="359"/>
      <c r="I29" s="359"/>
      <c r="J29" s="359">
        <v>2416860</v>
      </c>
      <c r="K29" s="359">
        <f>'3.sz.m.bevételek jogcímenként'!D21</f>
        <v>2416860</v>
      </c>
      <c r="L29" s="359"/>
      <c r="M29" s="359">
        <v>88550534</v>
      </c>
      <c r="N29" s="359">
        <v>88550534</v>
      </c>
      <c r="O29" s="359"/>
      <c r="P29" s="359"/>
      <c r="Q29" s="359"/>
      <c r="R29" s="359"/>
      <c r="S29" s="359">
        <v>1533000</v>
      </c>
      <c r="T29" s="359">
        <v>2776000</v>
      </c>
      <c r="U29" s="359">
        <v>2775825</v>
      </c>
      <c r="V29" s="359"/>
      <c r="W29" s="359"/>
      <c r="X29" s="359"/>
      <c r="Y29" s="359"/>
      <c r="Z29" s="359"/>
      <c r="AA29" s="359"/>
      <c r="AB29" s="323"/>
      <c r="AC29" s="325" t="s">
        <v>395</v>
      </c>
      <c r="AD29" s="327" t="s">
        <v>396</v>
      </c>
      <c r="AE29" s="359"/>
      <c r="AF29" s="359"/>
      <c r="AG29" s="359"/>
      <c r="AH29" s="359"/>
      <c r="AI29" s="359"/>
      <c r="AJ29" s="359"/>
      <c r="AK29" s="359">
        <v>348000</v>
      </c>
      <c r="AL29" s="359">
        <v>337399</v>
      </c>
      <c r="AM29" s="359">
        <v>337399</v>
      </c>
      <c r="AN29" s="359"/>
      <c r="AO29" s="359"/>
      <c r="AP29" s="359"/>
      <c r="AQ29" s="359"/>
      <c r="AR29" s="359"/>
      <c r="AS29" s="359"/>
      <c r="AT29" s="359"/>
      <c r="AU29" s="359"/>
      <c r="AV29" s="359"/>
      <c r="AW29" s="359"/>
      <c r="AX29" s="359"/>
      <c r="AY29" s="359"/>
      <c r="AZ29" s="369">
        <f t="shared" si="49"/>
        <v>92848394</v>
      </c>
      <c r="BA29" s="369">
        <f t="shared" si="50"/>
        <v>94080793</v>
      </c>
      <c r="BB29" s="369">
        <f t="shared" si="51"/>
        <v>3113224</v>
      </c>
    </row>
    <row r="30" spans="1:54" ht="15.75" x14ac:dyDescent="0.2">
      <c r="A30" s="323"/>
      <c r="B30" s="330"/>
      <c r="C30" s="335" t="s">
        <v>397</v>
      </c>
      <c r="D30" s="364">
        <f t="shared" ref="D30" si="52">SUM(D25:D29)</f>
        <v>0</v>
      </c>
      <c r="E30" s="364">
        <f t="shared" ref="E30:AL30" si="53">SUM(E25:E29)</f>
        <v>0</v>
      </c>
      <c r="F30" s="364">
        <f t="shared" ref="F30" si="54">SUM(F25:F29)</f>
        <v>0</v>
      </c>
      <c r="G30" s="364">
        <f t="shared" ref="G30" si="55">SUM(G25:G29)</f>
        <v>0</v>
      </c>
      <c r="H30" s="364">
        <f t="shared" si="53"/>
        <v>0</v>
      </c>
      <c r="I30" s="364">
        <f t="shared" ref="I30" si="56">SUM(I25:I29)</f>
        <v>0</v>
      </c>
      <c r="J30" s="364">
        <f t="shared" ref="J30" si="57">SUM(J25:J29)</f>
        <v>2416860</v>
      </c>
      <c r="K30" s="364">
        <f t="shared" si="53"/>
        <v>2416860</v>
      </c>
      <c r="L30" s="364">
        <f t="shared" ref="L30" si="58">SUM(L25:L29)</f>
        <v>0</v>
      </c>
      <c r="M30" s="364">
        <f t="shared" ref="M30" si="59">SUM(M25:M29)</f>
        <v>88550534</v>
      </c>
      <c r="N30" s="364">
        <f t="shared" si="53"/>
        <v>88550534</v>
      </c>
      <c r="O30" s="364">
        <f t="shared" ref="O30" si="60">SUM(O25:O29)</f>
        <v>0</v>
      </c>
      <c r="P30" s="364">
        <f t="shared" ref="P30" si="61">SUM(P25:P29)</f>
        <v>0</v>
      </c>
      <c r="Q30" s="364">
        <f t="shared" si="53"/>
        <v>0</v>
      </c>
      <c r="R30" s="364">
        <f t="shared" ref="R30" si="62">SUM(R25:R29)</f>
        <v>0</v>
      </c>
      <c r="S30" s="364">
        <f t="shared" ref="S30" si="63">SUM(S25:S29)</f>
        <v>7278000</v>
      </c>
      <c r="T30" s="364">
        <f t="shared" si="53"/>
        <v>12779000</v>
      </c>
      <c r="U30" s="364">
        <f t="shared" ref="U30" si="64">SUM(U25:U29)</f>
        <v>12333319</v>
      </c>
      <c r="V30" s="364">
        <f t="shared" ref="V30" si="65">SUM(V25:V29)</f>
        <v>0</v>
      </c>
      <c r="W30" s="364">
        <f t="shared" si="53"/>
        <v>0</v>
      </c>
      <c r="X30" s="364">
        <f t="shared" ref="X30" si="66">SUM(X25:X29)</f>
        <v>0</v>
      </c>
      <c r="Y30" s="364">
        <f t="shared" ref="Y30" si="67">SUM(Y25:Y29)</f>
        <v>0</v>
      </c>
      <c r="Z30" s="364">
        <f t="shared" si="53"/>
        <v>0</v>
      </c>
      <c r="AA30" s="364">
        <f t="shared" ref="AA30" si="68">SUM(AA25:AA29)</f>
        <v>0</v>
      </c>
      <c r="AB30" s="323"/>
      <c r="AC30" s="330"/>
      <c r="AD30" s="335" t="s">
        <v>397</v>
      </c>
      <c r="AE30" s="364">
        <f t="shared" ref="AE30" si="69">SUM(AE25:AE29)</f>
        <v>0</v>
      </c>
      <c r="AF30" s="364">
        <f t="shared" si="53"/>
        <v>0</v>
      </c>
      <c r="AG30" s="364">
        <f t="shared" ref="AG30" si="70">SUM(AG25:AG29)</f>
        <v>0</v>
      </c>
      <c r="AH30" s="364">
        <f t="shared" ref="AH30" si="71">SUM(AH25:AH29)</f>
        <v>705000</v>
      </c>
      <c r="AI30" s="364">
        <f t="shared" si="53"/>
        <v>1155145</v>
      </c>
      <c r="AJ30" s="364">
        <f t="shared" ref="AJ30" si="72">SUM(AJ25:AJ29)</f>
        <v>1155145</v>
      </c>
      <c r="AK30" s="364">
        <f t="shared" ref="AK30" si="73">SUM(AK25:AK29)</f>
        <v>348000</v>
      </c>
      <c r="AL30" s="364">
        <f t="shared" si="53"/>
        <v>8471006</v>
      </c>
      <c r="AM30" s="364">
        <f t="shared" ref="AM30" si="74">SUM(AM25:AM29)</f>
        <v>8471006</v>
      </c>
      <c r="AN30" s="364">
        <f t="shared" ref="AN30" si="75">SUM(AN25:AN29)</f>
        <v>0</v>
      </c>
      <c r="AO30" s="364">
        <f>SUM(AO26:AO29)</f>
        <v>0</v>
      </c>
      <c r="AP30" s="364">
        <f t="shared" ref="AP30" si="76">SUM(AP25:AP29)</f>
        <v>0</v>
      </c>
      <c r="AQ30" s="364">
        <f t="shared" ref="AQ30" si="77">SUM(AQ25:AQ29)</f>
        <v>0</v>
      </c>
      <c r="AR30" s="364">
        <f>SUM(AR26:AR29)</f>
        <v>0</v>
      </c>
      <c r="AS30" s="364">
        <f t="shared" ref="AS30" si="78">SUM(AS25:AS29)</f>
        <v>0</v>
      </c>
      <c r="AT30" s="364">
        <f t="shared" ref="AT30" si="79">SUM(AT25:AT29)</f>
        <v>0</v>
      </c>
      <c r="AU30" s="364">
        <f>SUM(AU26:AU29)</f>
        <v>0</v>
      </c>
      <c r="AV30" s="364">
        <f t="shared" ref="AV30" si="80">SUM(AV25:AV29)</f>
        <v>0</v>
      </c>
      <c r="AW30" s="364">
        <f t="shared" ref="AW30" si="81">SUM(AW25:AW29)</f>
        <v>0</v>
      </c>
      <c r="AX30" s="364">
        <f>SUM(AX25:AX29)</f>
        <v>0</v>
      </c>
      <c r="AY30" s="364">
        <f t="shared" ref="AY30" si="82">SUM(AY25:AY29)</f>
        <v>0</v>
      </c>
      <c r="AZ30" s="364">
        <f t="shared" si="49"/>
        <v>99298394</v>
      </c>
      <c r="BA30" s="364">
        <f t="shared" si="50"/>
        <v>113372545</v>
      </c>
      <c r="BB30" s="364">
        <f t="shared" si="51"/>
        <v>21959470</v>
      </c>
    </row>
    <row r="31" spans="1:54" ht="15.75" x14ac:dyDescent="0.2">
      <c r="A31" s="334" t="s">
        <v>398</v>
      </c>
      <c r="B31" s="326"/>
      <c r="C31" s="332" t="s">
        <v>399</v>
      </c>
      <c r="D31" s="359"/>
      <c r="E31" s="359"/>
      <c r="F31" s="359"/>
      <c r="G31" s="359"/>
      <c r="H31" s="359"/>
      <c r="I31" s="359"/>
      <c r="J31" s="359"/>
      <c r="K31" s="359"/>
      <c r="L31" s="359"/>
      <c r="M31" s="359"/>
      <c r="N31" s="359"/>
      <c r="O31" s="359"/>
      <c r="P31" s="359"/>
      <c r="Q31" s="359"/>
      <c r="R31" s="359"/>
      <c r="S31" s="359"/>
      <c r="T31" s="359"/>
      <c r="U31" s="359"/>
      <c r="V31" s="359"/>
      <c r="W31" s="359"/>
      <c r="X31" s="359"/>
      <c r="Y31" s="359"/>
      <c r="Z31" s="359"/>
      <c r="AA31" s="359"/>
      <c r="AB31" s="334" t="s">
        <v>398</v>
      </c>
      <c r="AC31" s="326"/>
      <c r="AD31" s="332" t="s">
        <v>399</v>
      </c>
      <c r="AE31" s="359"/>
      <c r="AF31" s="359"/>
      <c r="AG31" s="359"/>
      <c r="AH31" s="359"/>
      <c r="AI31" s="359"/>
      <c r="AJ31" s="359"/>
      <c r="AK31" s="359"/>
      <c r="AL31" s="359"/>
      <c r="AM31" s="359"/>
      <c r="AN31" s="359"/>
      <c r="AO31" s="359"/>
      <c r="AP31" s="359"/>
      <c r="AQ31" s="359"/>
      <c r="AR31" s="359"/>
      <c r="AS31" s="359"/>
      <c r="AT31" s="359"/>
      <c r="AU31" s="359"/>
      <c r="AV31" s="359"/>
      <c r="AW31" s="359"/>
      <c r="AX31" s="359"/>
      <c r="AY31" s="359"/>
      <c r="AZ31" s="369">
        <f t="shared" si="49"/>
        <v>0</v>
      </c>
      <c r="BA31" s="369">
        <f t="shared" si="50"/>
        <v>0</v>
      </c>
      <c r="BB31" s="369">
        <f t="shared" si="51"/>
        <v>0</v>
      </c>
    </row>
    <row r="32" spans="1:54" ht="15.75" x14ac:dyDescent="0.2">
      <c r="A32" s="334"/>
      <c r="B32" s="325" t="s">
        <v>400</v>
      </c>
      <c r="C32" s="326" t="s">
        <v>401</v>
      </c>
      <c r="D32" s="359"/>
      <c r="E32" s="359"/>
      <c r="F32" s="359"/>
      <c r="G32" s="359"/>
      <c r="H32" s="359"/>
      <c r="I32" s="359"/>
      <c r="J32" s="359"/>
      <c r="K32" s="359"/>
      <c r="L32" s="359"/>
      <c r="M32" s="359"/>
      <c r="N32" s="359"/>
      <c r="O32" s="359"/>
      <c r="P32" s="359"/>
      <c r="Q32" s="359"/>
      <c r="R32" s="359"/>
      <c r="S32" s="359"/>
      <c r="T32" s="359"/>
      <c r="U32" s="359"/>
      <c r="V32" s="359"/>
      <c r="W32" s="359"/>
      <c r="X32" s="359"/>
      <c r="Y32" s="359"/>
      <c r="Z32" s="359"/>
      <c r="AA32" s="359"/>
      <c r="AB32" s="334"/>
      <c r="AC32" s="325" t="s">
        <v>400</v>
      </c>
      <c r="AD32" s="326" t="s">
        <v>401</v>
      </c>
      <c r="AE32" s="359"/>
      <c r="AF32" s="359"/>
      <c r="AG32" s="359"/>
      <c r="AH32" s="359"/>
      <c r="AI32" s="359"/>
      <c r="AJ32" s="359"/>
      <c r="AK32" s="359"/>
      <c r="AL32" s="359"/>
      <c r="AM32" s="359"/>
      <c r="AN32" s="359"/>
      <c r="AO32" s="359"/>
      <c r="AP32" s="359"/>
      <c r="AQ32" s="359"/>
      <c r="AR32" s="359"/>
      <c r="AS32" s="359"/>
      <c r="AT32" s="359"/>
      <c r="AU32" s="359"/>
      <c r="AV32" s="359"/>
      <c r="AW32" s="359"/>
      <c r="AX32" s="359"/>
      <c r="AY32" s="359"/>
      <c r="AZ32" s="369">
        <f t="shared" si="49"/>
        <v>0</v>
      </c>
      <c r="BA32" s="369">
        <f t="shared" si="50"/>
        <v>0</v>
      </c>
      <c r="BB32" s="369">
        <f t="shared" si="51"/>
        <v>0</v>
      </c>
    </row>
    <row r="33" spans="1:54" ht="15.75" x14ac:dyDescent="0.2">
      <c r="A33" s="323"/>
      <c r="B33" s="325" t="s">
        <v>402</v>
      </c>
      <c r="C33" s="327" t="s">
        <v>403</v>
      </c>
      <c r="D33" s="359"/>
      <c r="E33" s="359"/>
      <c r="F33" s="359"/>
      <c r="G33" s="359"/>
      <c r="H33" s="359"/>
      <c r="I33" s="359"/>
      <c r="J33" s="359"/>
      <c r="K33" s="359">
        <v>9358329</v>
      </c>
      <c r="L33" s="359">
        <v>9358329</v>
      </c>
      <c r="M33" s="359"/>
      <c r="N33" s="359"/>
      <c r="O33" s="359"/>
      <c r="P33" s="359"/>
      <c r="Q33" s="359"/>
      <c r="R33" s="359"/>
      <c r="S33" s="359"/>
      <c r="T33" s="359"/>
      <c r="U33" s="359">
        <v>19200</v>
      </c>
      <c r="V33" s="359"/>
      <c r="W33" s="359"/>
      <c r="X33" s="359"/>
      <c r="Y33" s="359"/>
      <c r="Z33" s="359"/>
      <c r="AA33" s="359"/>
      <c r="AB33" s="323"/>
      <c r="AC33" s="325" t="s">
        <v>402</v>
      </c>
      <c r="AD33" s="327" t="s">
        <v>403</v>
      </c>
      <c r="AE33" s="359"/>
      <c r="AF33" s="359"/>
      <c r="AG33" s="359"/>
      <c r="AH33" s="359"/>
      <c r="AI33" s="359"/>
      <c r="AJ33" s="359"/>
      <c r="AK33" s="359"/>
      <c r="AL33" s="359"/>
      <c r="AM33" s="359"/>
      <c r="AN33" s="359"/>
      <c r="AO33" s="359"/>
      <c r="AP33" s="359"/>
      <c r="AQ33" s="359"/>
      <c r="AR33" s="359"/>
      <c r="AS33" s="359"/>
      <c r="AT33" s="359"/>
      <c r="AU33" s="359"/>
      <c r="AV33" s="359"/>
      <c r="AW33" s="359"/>
      <c r="AX33" s="359"/>
      <c r="AY33" s="359"/>
      <c r="AZ33" s="369">
        <f t="shared" si="49"/>
        <v>0</v>
      </c>
      <c r="BA33" s="369">
        <f t="shared" si="50"/>
        <v>9358329</v>
      </c>
      <c r="BB33" s="369">
        <f t="shared" si="51"/>
        <v>9377529</v>
      </c>
    </row>
    <row r="34" spans="1:54" ht="15.75" x14ac:dyDescent="0.2">
      <c r="A34" s="323"/>
      <c r="B34" s="325" t="s">
        <v>404</v>
      </c>
      <c r="C34" s="327" t="s">
        <v>405</v>
      </c>
      <c r="D34" s="359"/>
      <c r="E34" s="359"/>
      <c r="F34" s="359"/>
      <c r="G34" s="359"/>
      <c r="H34" s="359"/>
      <c r="I34" s="359"/>
      <c r="J34" s="359"/>
      <c r="K34" s="359"/>
      <c r="L34" s="359"/>
      <c r="M34" s="359"/>
      <c r="N34" s="359"/>
      <c r="O34" s="359"/>
      <c r="P34" s="359"/>
      <c r="Q34" s="359"/>
      <c r="R34" s="359"/>
      <c r="S34" s="359"/>
      <c r="T34" s="359"/>
      <c r="U34" s="359"/>
      <c r="V34" s="359"/>
      <c r="W34" s="359"/>
      <c r="X34" s="359"/>
      <c r="Y34" s="359"/>
      <c r="Z34" s="359"/>
      <c r="AA34" s="359"/>
      <c r="AB34" s="323"/>
      <c r="AC34" s="325" t="s">
        <v>404</v>
      </c>
      <c r="AD34" s="327" t="s">
        <v>405</v>
      </c>
      <c r="AE34" s="359"/>
      <c r="AF34" s="359"/>
      <c r="AG34" s="359"/>
      <c r="AH34" s="359"/>
      <c r="AI34" s="359"/>
      <c r="AJ34" s="359"/>
      <c r="AK34" s="359"/>
      <c r="AL34" s="359"/>
      <c r="AM34" s="359"/>
      <c r="AN34" s="359"/>
      <c r="AO34" s="359"/>
      <c r="AP34" s="359"/>
      <c r="AQ34" s="359"/>
      <c r="AR34" s="359"/>
      <c r="AS34" s="359"/>
      <c r="AT34" s="359"/>
      <c r="AU34" s="359"/>
      <c r="AV34" s="359"/>
      <c r="AW34" s="359"/>
      <c r="AX34" s="359"/>
      <c r="AY34" s="359"/>
      <c r="AZ34" s="369">
        <f t="shared" si="49"/>
        <v>0</v>
      </c>
      <c r="BA34" s="369">
        <f t="shared" si="50"/>
        <v>0</v>
      </c>
      <c r="BB34" s="369">
        <f t="shared" si="51"/>
        <v>0</v>
      </c>
    </row>
    <row r="35" spans="1:54" ht="15.75" x14ac:dyDescent="0.2">
      <c r="A35" s="323"/>
      <c r="B35" s="325" t="s">
        <v>406</v>
      </c>
      <c r="C35" s="327" t="s">
        <v>407</v>
      </c>
      <c r="D35" s="359"/>
      <c r="E35" s="359"/>
      <c r="F35" s="359"/>
      <c r="G35" s="359"/>
      <c r="H35" s="359"/>
      <c r="I35" s="359"/>
      <c r="J35" s="359">
        <v>5367600</v>
      </c>
      <c r="K35" s="359">
        <v>5359400</v>
      </c>
      <c r="L35" s="359">
        <v>5359400</v>
      </c>
      <c r="M35" s="359"/>
      <c r="N35" s="359"/>
      <c r="O35" s="359"/>
      <c r="P35" s="359"/>
      <c r="Q35" s="359"/>
      <c r="R35" s="359"/>
      <c r="S35" s="359"/>
      <c r="T35" s="359"/>
      <c r="U35" s="359"/>
      <c r="V35" s="359"/>
      <c r="W35" s="359"/>
      <c r="X35" s="359"/>
      <c r="Y35" s="359"/>
      <c r="Z35" s="359"/>
      <c r="AA35" s="359"/>
      <c r="AB35" s="323"/>
      <c r="AC35" s="325" t="s">
        <v>406</v>
      </c>
      <c r="AD35" s="327" t="s">
        <v>407</v>
      </c>
      <c r="AE35" s="359"/>
      <c r="AF35" s="359"/>
      <c r="AG35" s="359"/>
      <c r="AH35" s="359"/>
      <c r="AI35" s="359"/>
      <c r="AJ35" s="359"/>
      <c r="AK35" s="359"/>
      <c r="AL35" s="359"/>
      <c r="AM35" s="359"/>
      <c r="AN35" s="359"/>
      <c r="AO35" s="359"/>
      <c r="AP35" s="359"/>
      <c r="AQ35" s="359"/>
      <c r="AR35" s="359"/>
      <c r="AS35" s="359"/>
      <c r="AT35" s="359"/>
      <c r="AU35" s="359"/>
      <c r="AV35" s="359"/>
      <c r="AW35" s="359"/>
      <c r="AX35" s="359"/>
      <c r="AY35" s="359"/>
      <c r="AZ35" s="369">
        <f t="shared" si="49"/>
        <v>5367600</v>
      </c>
      <c r="BA35" s="369">
        <f t="shared" si="50"/>
        <v>5359400</v>
      </c>
      <c r="BB35" s="369">
        <f t="shared" si="51"/>
        <v>5359400</v>
      </c>
    </row>
    <row r="36" spans="1:54" ht="15.75" x14ac:dyDescent="0.2">
      <c r="A36" s="323"/>
      <c r="B36" s="325" t="s">
        <v>408</v>
      </c>
      <c r="C36" s="327" t="s">
        <v>409</v>
      </c>
      <c r="D36" s="359"/>
      <c r="E36" s="359"/>
      <c r="F36" s="359"/>
      <c r="G36" s="359"/>
      <c r="H36" s="359"/>
      <c r="I36" s="359"/>
      <c r="J36" s="359">
        <v>153600</v>
      </c>
      <c r="K36" s="359">
        <v>153600</v>
      </c>
      <c r="L36" s="359">
        <v>153600</v>
      </c>
      <c r="M36" s="359"/>
      <c r="N36" s="359"/>
      <c r="O36" s="359"/>
      <c r="P36" s="359"/>
      <c r="Q36" s="359"/>
      <c r="R36" s="359"/>
      <c r="S36" s="359"/>
      <c r="T36" s="359"/>
      <c r="U36" s="359"/>
      <c r="V36" s="359"/>
      <c r="W36" s="359"/>
      <c r="X36" s="359"/>
      <c r="Y36" s="359"/>
      <c r="Z36" s="359"/>
      <c r="AA36" s="359"/>
      <c r="AB36" s="323"/>
      <c r="AC36" s="325" t="s">
        <v>408</v>
      </c>
      <c r="AD36" s="327" t="s">
        <v>409</v>
      </c>
      <c r="AE36" s="359"/>
      <c r="AF36" s="359"/>
      <c r="AG36" s="359"/>
      <c r="AH36" s="359"/>
      <c r="AI36" s="359"/>
      <c r="AJ36" s="359"/>
      <c r="AK36" s="359"/>
      <c r="AL36" s="359"/>
      <c r="AM36" s="359"/>
      <c r="AN36" s="359"/>
      <c r="AO36" s="359"/>
      <c r="AP36" s="359"/>
      <c r="AQ36" s="359"/>
      <c r="AR36" s="359"/>
      <c r="AS36" s="359"/>
      <c r="AT36" s="359"/>
      <c r="AU36" s="359"/>
      <c r="AV36" s="359"/>
      <c r="AW36" s="359"/>
      <c r="AX36" s="359"/>
      <c r="AY36" s="359"/>
      <c r="AZ36" s="369">
        <f t="shared" si="49"/>
        <v>153600</v>
      </c>
      <c r="BA36" s="369">
        <f t="shared" si="50"/>
        <v>153600</v>
      </c>
      <c r="BB36" s="369">
        <f t="shared" si="51"/>
        <v>153600</v>
      </c>
    </row>
    <row r="37" spans="1:54" ht="15.75" x14ac:dyDescent="0.2">
      <c r="A37" s="323"/>
      <c r="B37" s="330"/>
      <c r="C37" s="335" t="s">
        <v>410</v>
      </c>
      <c r="D37" s="364">
        <f t="shared" ref="D37" si="83">SUM(D32:D36)</f>
        <v>0</v>
      </c>
      <c r="E37" s="364">
        <f t="shared" ref="E37:AL37" si="84">SUM(E32:E36)</f>
        <v>0</v>
      </c>
      <c r="F37" s="364">
        <f t="shared" ref="F37" si="85">SUM(F32:F36)</f>
        <v>0</v>
      </c>
      <c r="G37" s="364">
        <f t="shared" ref="G37" si="86">SUM(G32:G36)</f>
        <v>0</v>
      </c>
      <c r="H37" s="364">
        <f t="shared" si="84"/>
        <v>0</v>
      </c>
      <c r="I37" s="364">
        <f t="shared" ref="I37" si="87">SUM(I32:I36)</f>
        <v>0</v>
      </c>
      <c r="J37" s="364">
        <f t="shared" ref="J37" si="88">SUM(J32:J36)</f>
        <v>5521200</v>
      </c>
      <c r="K37" s="364">
        <f t="shared" si="84"/>
        <v>14871329</v>
      </c>
      <c r="L37" s="364">
        <f t="shared" ref="L37" si="89">SUM(L32:L36)</f>
        <v>14871329</v>
      </c>
      <c r="M37" s="364">
        <f t="shared" ref="M37" si="90">SUM(M32:M36)</f>
        <v>0</v>
      </c>
      <c r="N37" s="364">
        <f t="shared" si="84"/>
        <v>0</v>
      </c>
      <c r="O37" s="364">
        <f t="shared" ref="O37" si="91">SUM(O32:O36)</f>
        <v>0</v>
      </c>
      <c r="P37" s="364">
        <f t="shared" ref="P37" si="92">SUM(P32:P36)</f>
        <v>0</v>
      </c>
      <c r="Q37" s="364">
        <f t="shared" si="84"/>
        <v>0</v>
      </c>
      <c r="R37" s="364">
        <f t="shared" ref="R37" si="93">SUM(R32:R36)</f>
        <v>0</v>
      </c>
      <c r="S37" s="364">
        <f t="shared" ref="S37" si="94">SUM(S32:S36)</f>
        <v>0</v>
      </c>
      <c r="T37" s="364">
        <f t="shared" si="84"/>
        <v>0</v>
      </c>
      <c r="U37" s="364">
        <f t="shared" ref="U37" si="95">SUM(U32:U36)</f>
        <v>19200</v>
      </c>
      <c r="V37" s="364">
        <f t="shared" ref="V37" si="96">SUM(V32:V36)</f>
        <v>0</v>
      </c>
      <c r="W37" s="364">
        <f t="shared" si="84"/>
        <v>0</v>
      </c>
      <c r="X37" s="364">
        <f t="shared" ref="X37" si="97">SUM(X32:X36)</f>
        <v>0</v>
      </c>
      <c r="Y37" s="364">
        <f t="shared" ref="Y37" si="98">SUM(Y32:Y36)</f>
        <v>0</v>
      </c>
      <c r="Z37" s="364">
        <f t="shared" si="84"/>
        <v>0</v>
      </c>
      <c r="AA37" s="364">
        <f t="shared" ref="AA37" si="99">SUM(AA32:AA36)</f>
        <v>0</v>
      </c>
      <c r="AB37" s="323"/>
      <c r="AC37" s="330"/>
      <c r="AD37" s="335" t="s">
        <v>410</v>
      </c>
      <c r="AE37" s="364">
        <f t="shared" ref="AE37" si="100">SUM(AE32:AE36)</f>
        <v>0</v>
      </c>
      <c r="AF37" s="364">
        <f t="shared" si="84"/>
        <v>0</v>
      </c>
      <c r="AG37" s="364">
        <f t="shared" ref="AG37" si="101">SUM(AG32:AG36)</f>
        <v>0</v>
      </c>
      <c r="AH37" s="364">
        <f t="shared" ref="AH37" si="102">SUM(AH32:AH36)</f>
        <v>0</v>
      </c>
      <c r="AI37" s="364">
        <f t="shared" si="84"/>
        <v>0</v>
      </c>
      <c r="AJ37" s="364">
        <f t="shared" ref="AJ37" si="103">SUM(AJ32:AJ36)</f>
        <v>0</v>
      </c>
      <c r="AK37" s="364">
        <f t="shared" ref="AK37" si="104">SUM(AK32:AK36)</f>
        <v>0</v>
      </c>
      <c r="AL37" s="364">
        <f t="shared" si="84"/>
        <v>0</v>
      </c>
      <c r="AM37" s="364">
        <f t="shared" ref="AM37" si="105">SUM(AM32:AM36)</f>
        <v>0</v>
      </c>
      <c r="AN37" s="364">
        <f t="shared" ref="AN37" si="106">SUM(AN32:AN36)</f>
        <v>0</v>
      </c>
      <c r="AO37" s="364">
        <f>SUM(AO33:AO36)</f>
        <v>0</v>
      </c>
      <c r="AP37" s="364">
        <f t="shared" ref="AP37" si="107">SUM(AP32:AP36)</f>
        <v>0</v>
      </c>
      <c r="AQ37" s="364">
        <f t="shared" ref="AQ37" si="108">SUM(AQ32:AQ36)</f>
        <v>0</v>
      </c>
      <c r="AR37" s="364">
        <f>SUM(AR33:AR36)</f>
        <v>0</v>
      </c>
      <c r="AS37" s="364">
        <f t="shared" ref="AS37" si="109">SUM(AS32:AS36)</f>
        <v>0</v>
      </c>
      <c r="AT37" s="364">
        <f t="shared" ref="AT37" si="110">SUM(AT32:AT36)</f>
        <v>0</v>
      </c>
      <c r="AU37" s="364">
        <f>SUM(AU33:AU36)</f>
        <v>0</v>
      </c>
      <c r="AV37" s="364">
        <f t="shared" ref="AV37" si="111">SUM(AV32:AV36)</f>
        <v>0</v>
      </c>
      <c r="AW37" s="364">
        <f t="shared" ref="AW37" si="112">SUM(AW32:AW36)</f>
        <v>0</v>
      </c>
      <c r="AX37" s="364">
        <f>SUM(AX32:AX36)</f>
        <v>0</v>
      </c>
      <c r="AY37" s="364">
        <f t="shared" ref="AY37" si="113">SUM(AY32:AY36)</f>
        <v>0</v>
      </c>
      <c r="AZ37" s="364">
        <f t="shared" si="49"/>
        <v>5521200</v>
      </c>
      <c r="BA37" s="364">
        <f t="shared" si="50"/>
        <v>14871329</v>
      </c>
      <c r="BB37" s="364">
        <f t="shared" si="51"/>
        <v>14890529</v>
      </c>
    </row>
    <row r="38" spans="1:54" ht="15.75" x14ac:dyDescent="0.2">
      <c r="A38" s="334" t="s">
        <v>411</v>
      </c>
      <c r="B38" s="326"/>
      <c r="C38" s="332" t="s">
        <v>412</v>
      </c>
      <c r="D38" s="359"/>
      <c r="E38" s="359"/>
      <c r="F38" s="359"/>
      <c r="G38" s="359"/>
      <c r="H38" s="359"/>
      <c r="I38" s="359"/>
      <c r="J38" s="359"/>
      <c r="K38" s="359"/>
      <c r="L38" s="359"/>
      <c r="M38" s="359"/>
      <c r="N38" s="359"/>
      <c r="O38" s="359"/>
      <c r="P38" s="359"/>
      <c r="Q38" s="359"/>
      <c r="R38" s="359"/>
      <c r="S38" s="359"/>
      <c r="T38" s="359"/>
      <c r="U38" s="359"/>
      <c r="V38" s="359"/>
      <c r="W38" s="359"/>
      <c r="X38" s="359"/>
      <c r="Y38" s="359"/>
      <c r="Z38" s="359"/>
      <c r="AA38" s="359"/>
      <c r="AB38" s="334" t="s">
        <v>411</v>
      </c>
      <c r="AC38" s="326"/>
      <c r="AD38" s="332" t="s">
        <v>412</v>
      </c>
      <c r="AE38" s="359"/>
      <c r="AF38" s="359"/>
      <c r="AG38" s="359"/>
      <c r="AH38" s="359"/>
      <c r="AI38" s="359"/>
      <c r="AJ38" s="359"/>
      <c r="AK38" s="359"/>
      <c r="AL38" s="359"/>
      <c r="AM38" s="359"/>
      <c r="AN38" s="359"/>
      <c r="AO38" s="359"/>
      <c r="AP38" s="359"/>
      <c r="AQ38" s="359"/>
      <c r="AR38" s="359"/>
      <c r="AS38" s="359"/>
      <c r="AT38" s="359"/>
      <c r="AU38" s="359"/>
      <c r="AV38" s="359"/>
      <c r="AW38" s="359"/>
      <c r="AX38" s="359"/>
      <c r="AY38" s="359"/>
      <c r="AZ38" s="369">
        <f t="shared" si="49"/>
        <v>0</v>
      </c>
      <c r="BA38" s="369">
        <f t="shared" si="50"/>
        <v>0</v>
      </c>
      <c r="BB38" s="369">
        <f t="shared" si="51"/>
        <v>0</v>
      </c>
    </row>
    <row r="39" spans="1:54" ht="15.75" x14ac:dyDescent="0.2">
      <c r="A39" s="323"/>
      <c r="B39" s="325" t="s">
        <v>413</v>
      </c>
      <c r="C39" s="327" t="s">
        <v>414</v>
      </c>
      <c r="D39" s="359"/>
      <c r="E39" s="359"/>
      <c r="F39" s="359"/>
      <c r="G39" s="359"/>
      <c r="H39" s="359"/>
      <c r="I39" s="359"/>
      <c r="J39" s="359"/>
      <c r="K39" s="359"/>
      <c r="L39" s="359"/>
      <c r="M39" s="359"/>
      <c r="N39" s="359"/>
      <c r="O39" s="359"/>
      <c r="P39" s="359"/>
      <c r="Q39" s="359"/>
      <c r="R39" s="359"/>
      <c r="S39" s="359"/>
      <c r="T39" s="359"/>
      <c r="U39" s="359"/>
      <c r="V39" s="359"/>
      <c r="W39" s="359"/>
      <c r="X39" s="359"/>
      <c r="Y39" s="359"/>
      <c r="Z39" s="359"/>
      <c r="AA39" s="359"/>
      <c r="AB39" s="323"/>
      <c r="AC39" s="325" t="s">
        <v>413</v>
      </c>
      <c r="AD39" s="327" t="s">
        <v>414</v>
      </c>
      <c r="AE39" s="359"/>
      <c r="AF39" s="359"/>
      <c r="AG39" s="359"/>
      <c r="AH39" s="359"/>
      <c r="AI39" s="359"/>
      <c r="AJ39" s="359"/>
      <c r="AK39" s="359"/>
      <c r="AL39" s="359"/>
      <c r="AM39" s="359"/>
      <c r="AN39" s="359"/>
      <c r="AO39" s="359"/>
      <c r="AP39" s="359"/>
      <c r="AQ39" s="359"/>
      <c r="AR39" s="359"/>
      <c r="AS39" s="359"/>
      <c r="AT39" s="359"/>
      <c r="AU39" s="359"/>
      <c r="AV39" s="359"/>
      <c r="AW39" s="359"/>
      <c r="AX39" s="359"/>
      <c r="AY39" s="359"/>
      <c r="AZ39" s="369">
        <f t="shared" si="49"/>
        <v>0</v>
      </c>
      <c r="BA39" s="369">
        <f t="shared" si="50"/>
        <v>0</v>
      </c>
      <c r="BB39" s="369">
        <f t="shared" si="51"/>
        <v>0</v>
      </c>
    </row>
    <row r="40" spans="1:54" ht="15.75" x14ac:dyDescent="0.2">
      <c r="A40" s="323"/>
      <c r="B40" s="325" t="s">
        <v>415</v>
      </c>
      <c r="C40" s="327" t="s">
        <v>416</v>
      </c>
      <c r="D40" s="359"/>
      <c r="E40" s="359"/>
      <c r="F40" s="359"/>
      <c r="G40" s="359"/>
      <c r="H40" s="359"/>
      <c r="I40" s="359"/>
      <c r="J40" s="359"/>
      <c r="K40" s="359"/>
      <c r="L40" s="359"/>
      <c r="M40" s="359"/>
      <c r="N40" s="359"/>
      <c r="O40" s="359"/>
      <c r="P40" s="359"/>
      <c r="Q40" s="359"/>
      <c r="R40" s="359"/>
      <c r="S40" s="359"/>
      <c r="T40" s="359"/>
      <c r="U40" s="359"/>
      <c r="V40" s="359"/>
      <c r="W40" s="359"/>
      <c r="X40" s="359"/>
      <c r="Y40" s="359"/>
      <c r="Z40" s="359"/>
      <c r="AA40" s="359"/>
      <c r="AB40" s="323"/>
      <c r="AC40" s="325" t="s">
        <v>415</v>
      </c>
      <c r="AD40" s="327" t="s">
        <v>416</v>
      </c>
      <c r="AE40" s="359"/>
      <c r="AF40" s="359"/>
      <c r="AG40" s="359"/>
      <c r="AH40" s="359"/>
      <c r="AI40" s="359"/>
      <c r="AJ40" s="359"/>
      <c r="AK40" s="359"/>
      <c r="AL40" s="359"/>
      <c r="AM40" s="359"/>
      <c r="AN40" s="359"/>
      <c r="AO40" s="359"/>
      <c r="AP40" s="359"/>
      <c r="AQ40" s="359"/>
      <c r="AR40" s="359"/>
      <c r="AS40" s="359"/>
      <c r="AT40" s="359"/>
      <c r="AU40" s="359"/>
      <c r="AV40" s="359"/>
      <c r="AW40" s="359"/>
      <c r="AX40" s="359"/>
      <c r="AY40" s="359"/>
      <c r="AZ40" s="369">
        <f t="shared" si="49"/>
        <v>0</v>
      </c>
      <c r="BA40" s="369">
        <f t="shared" si="50"/>
        <v>0</v>
      </c>
      <c r="BB40" s="369">
        <f t="shared" si="51"/>
        <v>0</v>
      </c>
    </row>
    <row r="41" spans="1:54" ht="15.75" x14ac:dyDescent="0.2">
      <c r="A41" s="323"/>
      <c r="B41" s="325" t="s">
        <v>458</v>
      </c>
      <c r="C41" s="327" t="s">
        <v>418</v>
      </c>
      <c r="D41" s="359"/>
      <c r="E41" s="359"/>
      <c r="F41" s="359"/>
      <c r="G41" s="359"/>
      <c r="H41" s="359"/>
      <c r="I41" s="359"/>
      <c r="J41" s="359"/>
      <c r="K41" s="359"/>
      <c r="L41" s="359"/>
      <c r="M41" s="359"/>
      <c r="N41" s="359"/>
      <c r="O41" s="359"/>
      <c r="P41" s="359"/>
      <c r="Q41" s="359"/>
      <c r="R41" s="359"/>
      <c r="S41" s="359"/>
      <c r="T41" s="359"/>
      <c r="U41" s="359"/>
      <c r="V41" s="359"/>
      <c r="W41" s="359"/>
      <c r="X41" s="359"/>
      <c r="Y41" s="359"/>
      <c r="Z41" s="359"/>
      <c r="AA41" s="359"/>
      <c r="AB41" s="323"/>
      <c r="AC41" s="325" t="s">
        <v>458</v>
      </c>
      <c r="AD41" s="327" t="s">
        <v>418</v>
      </c>
      <c r="AE41" s="359"/>
      <c r="AF41" s="359"/>
      <c r="AG41" s="359"/>
      <c r="AH41" s="359"/>
      <c r="AI41" s="359"/>
      <c r="AJ41" s="359"/>
      <c r="AK41" s="359"/>
      <c r="AL41" s="359"/>
      <c r="AM41" s="359"/>
      <c r="AN41" s="359"/>
      <c r="AO41" s="359"/>
      <c r="AP41" s="359"/>
      <c r="AQ41" s="359"/>
      <c r="AR41" s="359"/>
      <c r="AS41" s="359"/>
      <c r="AT41" s="359"/>
      <c r="AU41" s="359"/>
      <c r="AV41" s="359"/>
      <c r="AW41" s="359"/>
      <c r="AX41" s="359"/>
      <c r="AY41" s="359"/>
      <c r="AZ41" s="369">
        <f t="shared" si="49"/>
        <v>0</v>
      </c>
      <c r="BA41" s="369">
        <f t="shared" si="50"/>
        <v>0</v>
      </c>
      <c r="BB41" s="369">
        <f t="shared" si="51"/>
        <v>0</v>
      </c>
    </row>
    <row r="42" spans="1:54" ht="15.75" x14ac:dyDescent="0.2">
      <c r="A42" s="323"/>
      <c r="B42" s="325" t="s">
        <v>419</v>
      </c>
      <c r="C42" s="327" t="s">
        <v>420</v>
      </c>
      <c r="D42" s="359"/>
      <c r="E42" s="359"/>
      <c r="F42" s="359"/>
      <c r="G42" s="359"/>
      <c r="H42" s="359"/>
      <c r="I42" s="359"/>
      <c r="J42" s="359"/>
      <c r="K42" s="359">
        <v>6270</v>
      </c>
      <c r="L42" s="359">
        <v>6270</v>
      </c>
      <c r="M42" s="359"/>
      <c r="N42" s="359"/>
      <c r="O42" s="359"/>
      <c r="P42" s="359"/>
      <c r="Q42" s="359"/>
      <c r="R42" s="359"/>
      <c r="S42" s="359"/>
      <c r="T42" s="359"/>
      <c r="U42" s="359"/>
      <c r="V42" s="359"/>
      <c r="W42" s="359"/>
      <c r="X42" s="359"/>
      <c r="Y42" s="359"/>
      <c r="Z42" s="359"/>
      <c r="AA42" s="359"/>
      <c r="AB42" s="323"/>
      <c r="AC42" s="325" t="s">
        <v>419</v>
      </c>
      <c r="AD42" s="327" t="s">
        <v>420</v>
      </c>
      <c r="AE42" s="359"/>
      <c r="AF42" s="359"/>
      <c r="AG42" s="359"/>
      <c r="AH42" s="359"/>
      <c r="AI42" s="359"/>
      <c r="AJ42" s="359"/>
      <c r="AK42" s="359"/>
      <c r="AL42" s="359"/>
      <c r="AM42" s="359"/>
      <c r="AN42" s="359"/>
      <c r="AO42" s="359"/>
      <c r="AP42" s="359"/>
      <c r="AQ42" s="359"/>
      <c r="AR42" s="359"/>
      <c r="AS42" s="359"/>
      <c r="AT42" s="359"/>
      <c r="AU42" s="359"/>
      <c r="AV42" s="359"/>
      <c r="AW42" s="359"/>
      <c r="AX42" s="359"/>
      <c r="AY42" s="359"/>
      <c r="AZ42" s="369">
        <f t="shared" si="49"/>
        <v>0</v>
      </c>
      <c r="BA42" s="369">
        <f t="shared" si="50"/>
        <v>6270</v>
      </c>
      <c r="BB42" s="369">
        <f t="shared" si="51"/>
        <v>6270</v>
      </c>
    </row>
    <row r="43" spans="1:54" ht="15.75" x14ac:dyDescent="0.2">
      <c r="A43" s="329"/>
      <c r="B43" s="325" t="s">
        <v>421</v>
      </c>
      <c r="C43" s="326" t="s">
        <v>422</v>
      </c>
      <c r="D43" s="359"/>
      <c r="E43" s="359"/>
      <c r="F43" s="359"/>
      <c r="G43" s="359"/>
      <c r="H43" s="359"/>
      <c r="I43" s="359"/>
      <c r="J43" s="359"/>
      <c r="K43" s="359"/>
      <c r="L43" s="359"/>
      <c r="M43" s="359"/>
      <c r="N43" s="359"/>
      <c r="O43" s="359"/>
      <c r="P43" s="359"/>
      <c r="Q43" s="362"/>
      <c r="R43" s="359"/>
      <c r="S43" s="359"/>
      <c r="T43" s="359"/>
      <c r="U43" s="359">
        <v>23752</v>
      </c>
      <c r="V43" s="359"/>
      <c r="W43" s="359"/>
      <c r="X43" s="359"/>
      <c r="Y43" s="359"/>
      <c r="Z43" s="359"/>
      <c r="AA43" s="359"/>
      <c r="AB43" s="329"/>
      <c r="AC43" s="325" t="s">
        <v>421</v>
      </c>
      <c r="AD43" s="326" t="s">
        <v>422</v>
      </c>
      <c r="AE43" s="359"/>
      <c r="AF43" s="362"/>
      <c r="AG43" s="359"/>
      <c r="AH43" s="359"/>
      <c r="AI43" s="359"/>
      <c r="AJ43" s="359"/>
      <c r="AK43" s="359"/>
      <c r="AL43" s="359"/>
      <c r="AM43" s="359"/>
      <c r="AN43" s="359"/>
      <c r="AO43" s="359"/>
      <c r="AP43" s="359"/>
      <c r="AQ43" s="359"/>
      <c r="AR43" s="359"/>
      <c r="AS43" s="359"/>
      <c r="AT43" s="359"/>
      <c r="AU43" s="359"/>
      <c r="AV43" s="359"/>
      <c r="AW43" s="359"/>
      <c r="AX43" s="362"/>
      <c r="AY43" s="359"/>
      <c r="AZ43" s="369">
        <f t="shared" si="49"/>
        <v>0</v>
      </c>
      <c r="BA43" s="369">
        <f t="shared" si="50"/>
        <v>0</v>
      </c>
      <c r="BB43" s="369">
        <f t="shared" si="51"/>
        <v>23752</v>
      </c>
    </row>
    <row r="44" spans="1:54" ht="15.75" x14ac:dyDescent="0.2">
      <c r="A44" s="329"/>
      <c r="B44" s="330"/>
      <c r="C44" s="331" t="s">
        <v>423</v>
      </c>
      <c r="D44" s="364">
        <f t="shared" ref="D44" si="114">SUM(D39:D43)</f>
        <v>0</v>
      </c>
      <c r="E44" s="364">
        <f t="shared" ref="E44:AL44" si="115">SUM(E39:E43)</f>
        <v>0</v>
      </c>
      <c r="F44" s="364">
        <f t="shared" ref="F44" si="116">SUM(F39:F43)</f>
        <v>0</v>
      </c>
      <c r="G44" s="364">
        <f t="shared" ref="G44" si="117">SUM(G39:G43)</f>
        <v>0</v>
      </c>
      <c r="H44" s="364">
        <f t="shared" si="115"/>
        <v>0</v>
      </c>
      <c r="I44" s="364">
        <f t="shared" ref="I44" si="118">SUM(I39:I43)</f>
        <v>0</v>
      </c>
      <c r="J44" s="364">
        <f t="shared" ref="J44" si="119">SUM(J39:J43)</f>
        <v>0</v>
      </c>
      <c r="K44" s="364">
        <f t="shared" si="115"/>
        <v>6270</v>
      </c>
      <c r="L44" s="364">
        <f t="shared" ref="L44" si="120">SUM(L39:L43)</f>
        <v>6270</v>
      </c>
      <c r="M44" s="364">
        <f t="shared" ref="M44" si="121">SUM(M39:M43)</f>
        <v>0</v>
      </c>
      <c r="N44" s="364">
        <f t="shared" si="115"/>
        <v>0</v>
      </c>
      <c r="O44" s="364">
        <f t="shared" ref="O44" si="122">SUM(O39:O43)</f>
        <v>0</v>
      </c>
      <c r="P44" s="364">
        <f t="shared" ref="P44" si="123">SUM(P39:P43)</f>
        <v>0</v>
      </c>
      <c r="Q44" s="364">
        <f t="shared" si="115"/>
        <v>0</v>
      </c>
      <c r="R44" s="364">
        <f t="shared" ref="R44" si="124">SUM(R39:R43)</f>
        <v>0</v>
      </c>
      <c r="S44" s="364">
        <f t="shared" ref="S44" si="125">SUM(S39:S43)</f>
        <v>0</v>
      </c>
      <c r="T44" s="364">
        <f t="shared" si="115"/>
        <v>0</v>
      </c>
      <c r="U44" s="364">
        <f t="shared" ref="U44" si="126">SUM(U39:U43)</f>
        <v>23752</v>
      </c>
      <c r="V44" s="364">
        <f t="shared" ref="V44" si="127">SUM(V39:V43)</f>
        <v>0</v>
      </c>
      <c r="W44" s="364">
        <f t="shared" si="115"/>
        <v>0</v>
      </c>
      <c r="X44" s="364">
        <f t="shared" ref="X44" si="128">SUM(X39:X43)</f>
        <v>0</v>
      </c>
      <c r="Y44" s="364">
        <f t="shared" ref="Y44" si="129">SUM(Y39:Y43)</f>
        <v>0</v>
      </c>
      <c r="Z44" s="364">
        <f t="shared" si="115"/>
        <v>0</v>
      </c>
      <c r="AA44" s="364">
        <f t="shared" ref="AA44" si="130">SUM(AA39:AA43)</f>
        <v>0</v>
      </c>
      <c r="AB44" s="329"/>
      <c r="AC44" s="330"/>
      <c r="AD44" s="331" t="s">
        <v>423</v>
      </c>
      <c r="AE44" s="364">
        <f t="shared" ref="AE44" si="131">SUM(AE39:AE43)</f>
        <v>0</v>
      </c>
      <c r="AF44" s="364">
        <f t="shared" si="115"/>
        <v>0</v>
      </c>
      <c r="AG44" s="364">
        <f t="shared" ref="AG44" si="132">SUM(AG39:AG43)</f>
        <v>0</v>
      </c>
      <c r="AH44" s="364">
        <f t="shared" ref="AH44" si="133">SUM(AH39:AH43)</f>
        <v>0</v>
      </c>
      <c r="AI44" s="364">
        <f t="shared" si="115"/>
        <v>0</v>
      </c>
      <c r="AJ44" s="364">
        <f t="shared" ref="AJ44" si="134">SUM(AJ39:AJ43)</f>
        <v>0</v>
      </c>
      <c r="AK44" s="364">
        <f t="shared" ref="AK44" si="135">SUM(AK39:AK43)</f>
        <v>0</v>
      </c>
      <c r="AL44" s="364">
        <f t="shared" si="115"/>
        <v>0</v>
      </c>
      <c r="AM44" s="364">
        <f t="shared" ref="AM44" si="136">SUM(AM39:AM43)</f>
        <v>0</v>
      </c>
      <c r="AN44" s="364">
        <f t="shared" ref="AN44" si="137">SUM(AN39:AN43)</f>
        <v>0</v>
      </c>
      <c r="AO44" s="364">
        <f>SUM(AO40:AO43)</f>
        <v>0</v>
      </c>
      <c r="AP44" s="364">
        <f t="shared" ref="AP44" si="138">SUM(AP39:AP43)</f>
        <v>0</v>
      </c>
      <c r="AQ44" s="364">
        <f t="shared" ref="AQ44" si="139">SUM(AQ39:AQ43)</f>
        <v>0</v>
      </c>
      <c r="AR44" s="364">
        <f>SUM(AR40:AR43)</f>
        <v>0</v>
      </c>
      <c r="AS44" s="364">
        <f t="shared" ref="AS44" si="140">SUM(AS39:AS43)</f>
        <v>0</v>
      </c>
      <c r="AT44" s="364">
        <f t="shared" ref="AT44" si="141">SUM(AT39:AT43)</f>
        <v>0</v>
      </c>
      <c r="AU44" s="364">
        <f>SUM(AU40:AU43)</f>
        <v>0</v>
      </c>
      <c r="AV44" s="364">
        <f t="shared" ref="AV44" si="142">SUM(AV39:AV43)</f>
        <v>0</v>
      </c>
      <c r="AW44" s="364">
        <f t="shared" ref="AW44" si="143">SUM(AW39:AW43)</f>
        <v>0</v>
      </c>
      <c r="AX44" s="364">
        <f>SUM(AX39:AX43)</f>
        <v>0</v>
      </c>
      <c r="AY44" s="364">
        <f t="shared" ref="AY44" si="144">SUM(AY39:AY43)</f>
        <v>0</v>
      </c>
      <c r="AZ44" s="364">
        <f t="shared" si="49"/>
        <v>0</v>
      </c>
      <c r="BA44" s="364">
        <f t="shared" si="50"/>
        <v>6270</v>
      </c>
      <c r="BB44" s="364">
        <f t="shared" si="51"/>
        <v>30022</v>
      </c>
    </row>
    <row r="45" spans="1:54" ht="15.75" x14ac:dyDescent="0.2">
      <c r="A45" s="334" t="s">
        <v>424</v>
      </c>
      <c r="B45" s="325"/>
      <c r="C45" s="336" t="s">
        <v>425</v>
      </c>
      <c r="D45" s="362"/>
      <c r="E45" s="362"/>
      <c r="F45" s="362"/>
      <c r="G45" s="362"/>
      <c r="H45" s="362"/>
      <c r="I45" s="362"/>
      <c r="J45" s="362"/>
      <c r="K45" s="362"/>
      <c r="L45" s="362"/>
      <c r="M45" s="362"/>
      <c r="N45" s="362"/>
      <c r="O45" s="362"/>
      <c r="P45" s="362"/>
      <c r="Q45" s="362"/>
      <c r="R45" s="362"/>
      <c r="S45" s="362"/>
      <c r="T45" s="362"/>
      <c r="U45" s="362"/>
      <c r="V45" s="362"/>
      <c r="W45" s="362"/>
      <c r="X45" s="362"/>
      <c r="Y45" s="362"/>
      <c r="Z45" s="362"/>
      <c r="AA45" s="362"/>
      <c r="AB45" s="334" t="s">
        <v>424</v>
      </c>
      <c r="AC45" s="325"/>
      <c r="AD45" s="336" t="s">
        <v>425</v>
      </c>
      <c r="AE45" s="362"/>
      <c r="AF45" s="362"/>
      <c r="AG45" s="362"/>
      <c r="AH45" s="362"/>
      <c r="AI45" s="362"/>
      <c r="AJ45" s="362"/>
      <c r="AK45" s="362"/>
      <c r="AL45" s="362"/>
      <c r="AM45" s="362"/>
      <c r="AN45" s="362"/>
      <c r="AO45" s="362"/>
      <c r="AP45" s="362"/>
      <c r="AQ45" s="362"/>
      <c r="AR45" s="362"/>
      <c r="AS45" s="362"/>
      <c r="AT45" s="362"/>
      <c r="AU45" s="362"/>
      <c r="AV45" s="362"/>
      <c r="AW45" s="362"/>
      <c r="AX45" s="362"/>
      <c r="AY45" s="362"/>
      <c r="AZ45" s="369">
        <f t="shared" si="49"/>
        <v>0</v>
      </c>
      <c r="BA45" s="369">
        <f t="shared" si="50"/>
        <v>0</v>
      </c>
      <c r="BB45" s="369">
        <f t="shared" si="51"/>
        <v>0</v>
      </c>
    </row>
    <row r="46" spans="1:54" ht="15.75" x14ac:dyDescent="0.2">
      <c r="A46" s="329"/>
      <c r="B46" s="325" t="s">
        <v>426</v>
      </c>
      <c r="C46" s="328" t="s">
        <v>497</v>
      </c>
      <c r="D46" s="359"/>
      <c r="E46" s="359"/>
      <c r="F46" s="359"/>
      <c r="G46" s="359"/>
      <c r="H46" s="359"/>
      <c r="I46" s="359"/>
      <c r="J46" s="359"/>
      <c r="K46" s="362"/>
      <c r="L46" s="359"/>
      <c r="M46" s="359"/>
      <c r="N46" s="362"/>
      <c r="O46" s="359"/>
      <c r="P46" s="359"/>
      <c r="Q46" s="362"/>
      <c r="R46" s="359"/>
      <c r="S46" s="362"/>
      <c r="T46" s="362"/>
      <c r="U46" s="359"/>
      <c r="V46" s="359"/>
      <c r="W46" s="362"/>
      <c r="X46" s="359"/>
      <c r="Y46" s="359"/>
      <c r="Z46" s="362"/>
      <c r="AA46" s="359"/>
      <c r="AB46" s="329"/>
      <c r="AC46" s="325" t="s">
        <v>426</v>
      </c>
      <c r="AD46" s="328" t="s">
        <v>497</v>
      </c>
      <c r="AE46" s="359"/>
      <c r="AF46" s="362"/>
      <c r="AG46" s="359"/>
      <c r="AH46" s="359"/>
      <c r="AI46" s="362"/>
      <c r="AJ46" s="359"/>
      <c r="AK46" s="359"/>
      <c r="AL46" s="362"/>
      <c r="AM46" s="359"/>
      <c r="AN46" s="359"/>
      <c r="AO46" s="362"/>
      <c r="AP46" s="359"/>
      <c r="AQ46" s="359"/>
      <c r="AR46" s="362"/>
      <c r="AS46" s="359"/>
      <c r="AT46" s="359"/>
      <c r="AU46" s="362"/>
      <c r="AV46" s="359"/>
      <c r="AW46" s="359"/>
      <c r="AX46" s="362"/>
      <c r="AY46" s="359"/>
      <c r="AZ46" s="369">
        <f t="shared" si="49"/>
        <v>0</v>
      </c>
      <c r="BA46" s="369">
        <f t="shared" si="50"/>
        <v>0</v>
      </c>
      <c r="BB46" s="369">
        <f t="shared" si="51"/>
        <v>0</v>
      </c>
    </row>
    <row r="47" spans="1:54" ht="15.75" x14ac:dyDescent="0.2">
      <c r="A47" s="329"/>
      <c r="B47" s="325" t="s">
        <v>428</v>
      </c>
      <c r="C47" s="328" t="s">
        <v>427</v>
      </c>
      <c r="D47" s="359"/>
      <c r="E47" s="359"/>
      <c r="F47" s="359"/>
      <c r="G47" s="359"/>
      <c r="H47" s="359"/>
      <c r="I47" s="359"/>
      <c r="J47" s="359"/>
      <c r="K47" s="362"/>
      <c r="L47" s="359"/>
      <c r="M47" s="359"/>
      <c r="N47" s="362"/>
      <c r="O47" s="359"/>
      <c r="P47" s="359"/>
      <c r="Q47" s="362"/>
      <c r="R47" s="359"/>
      <c r="S47" s="362"/>
      <c r="T47" s="362"/>
      <c r="U47" s="359"/>
      <c r="V47" s="359"/>
      <c r="W47" s="362"/>
      <c r="X47" s="359"/>
      <c r="Y47" s="359"/>
      <c r="Z47" s="362"/>
      <c r="AA47" s="359"/>
      <c r="AB47" s="329"/>
      <c r="AC47" s="325" t="s">
        <v>428</v>
      </c>
      <c r="AD47" s="328" t="s">
        <v>427</v>
      </c>
      <c r="AE47" s="359"/>
      <c r="AF47" s="362"/>
      <c r="AG47" s="359"/>
      <c r="AH47" s="359"/>
      <c r="AI47" s="362"/>
      <c r="AJ47" s="359"/>
      <c r="AK47" s="359"/>
      <c r="AL47" s="362"/>
      <c r="AM47" s="359"/>
      <c r="AN47" s="359"/>
      <c r="AO47" s="362"/>
      <c r="AP47" s="359"/>
      <c r="AQ47" s="359"/>
      <c r="AR47" s="362"/>
      <c r="AS47" s="359"/>
      <c r="AT47" s="359"/>
      <c r="AU47" s="362"/>
      <c r="AV47" s="359"/>
      <c r="AW47" s="359"/>
      <c r="AX47" s="362"/>
      <c r="AY47" s="359"/>
      <c r="AZ47" s="369">
        <f t="shared" si="49"/>
        <v>0</v>
      </c>
      <c r="BA47" s="369">
        <f t="shared" si="50"/>
        <v>0</v>
      </c>
      <c r="BB47" s="369">
        <f t="shared" si="51"/>
        <v>0</v>
      </c>
    </row>
    <row r="48" spans="1:54" ht="15.75" x14ac:dyDescent="0.2">
      <c r="A48" s="329"/>
      <c r="B48" s="325" t="s">
        <v>429</v>
      </c>
      <c r="C48" s="328" t="s">
        <v>430</v>
      </c>
      <c r="D48" s="359"/>
      <c r="E48" s="359"/>
      <c r="F48" s="359"/>
      <c r="G48" s="359"/>
      <c r="H48" s="359"/>
      <c r="I48" s="359"/>
      <c r="J48" s="359"/>
      <c r="K48" s="362"/>
      <c r="L48" s="359"/>
      <c r="M48" s="359"/>
      <c r="N48" s="362"/>
      <c r="O48" s="359"/>
      <c r="P48" s="359"/>
      <c r="Q48" s="362"/>
      <c r="R48" s="359"/>
      <c r="S48" s="362"/>
      <c r="T48" s="362"/>
      <c r="U48" s="359"/>
      <c r="V48" s="359"/>
      <c r="W48" s="362"/>
      <c r="X48" s="359"/>
      <c r="Y48" s="359"/>
      <c r="Z48" s="362"/>
      <c r="AA48" s="359"/>
      <c r="AB48" s="329"/>
      <c r="AC48" s="325" t="s">
        <v>429</v>
      </c>
      <c r="AD48" s="328" t="s">
        <v>430</v>
      </c>
      <c r="AE48" s="359"/>
      <c r="AF48" s="362"/>
      <c r="AG48" s="359"/>
      <c r="AH48" s="359"/>
      <c r="AI48" s="362"/>
      <c r="AJ48" s="359"/>
      <c r="AK48" s="359"/>
      <c r="AL48" s="362"/>
      <c r="AM48" s="359"/>
      <c r="AN48" s="359"/>
      <c r="AO48" s="362"/>
      <c r="AP48" s="359"/>
      <c r="AQ48" s="359"/>
      <c r="AR48" s="362"/>
      <c r="AS48" s="359"/>
      <c r="AT48" s="359"/>
      <c r="AU48" s="362"/>
      <c r="AV48" s="359"/>
      <c r="AW48" s="359"/>
      <c r="AX48" s="362"/>
      <c r="AY48" s="359"/>
      <c r="AZ48" s="369">
        <f t="shared" si="49"/>
        <v>0</v>
      </c>
      <c r="BA48" s="369">
        <f t="shared" si="50"/>
        <v>0</v>
      </c>
      <c r="BB48" s="369">
        <f t="shared" si="51"/>
        <v>0</v>
      </c>
    </row>
    <row r="49" spans="1:54" ht="15.75" x14ac:dyDescent="0.2">
      <c r="A49" s="329"/>
      <c r="B49" s="325"/>
      <c r="C49" s="328"/>
      <c r="D49" s="359"/>
      <c r="E49" s="359"/>
      <c r="F49" s="359"/>
      <c r="G49" s="359"/>
      <c r="H49" s="359"/>
      <c r="I49" s="359"/>
      <c r="J49" s="359"/>
      <c r="K49" s="362"/>
      <c r="L49" s="359"/>
      <c r="M49" s="359"/>
      <c r="N49" s="362"/>
      <c r="O49" s="359"/>
      <c r="P49" s="359"/>
      <c r="Q49" s="362"/>
      <c r="R49" s="359"/>
      <c r="S49" s="362"/>
      <c r="T49" s="362"/>
      <c r="U49" s="359"/>
      <c r="V49" s="359"/>
      <c r="W49" s="362"/>
      <c r="X49" s="359"/>
      <c r="Y49" s="359"/>
      <c r="Z49" s="362"/>
      <c r="AA49" s="359"/>
      <c r="AB49" s="329"/>
      <c r="AC49" s="325"/>
      <c r="AD49" s="328"/>
      <c r="AE49" s="359"/>
      <c r="AF49" s="362"/>
      <c r="AG49" s="359"/>
      <c r="AH49" s="359"/>
      <c r="AI49" s="362"/>
      <c r="AJ49" s="359"/>
      <c r="AK49" s="359"/>
      <c r="AL49" s="362"/>
      <c r="AM49" s="359"/>
      <c r="AN49" s="359"/>
      <c r="AO49" s="362"/>
      <c r="AP49" s="359"/>
      <c r="AQ49" s="359"/>
      <c r="AR49" s="362"/>
      <c r="AS49" s="359"/>
      <c r="AT49" s="359"/>
      <c r="AU49" s="362"/>
      <c r="AV49" s="359"/>
      <c r="AW49" s="359"/>
      <c r="AX49" s="362"/>
      <c r="AY49" s="359"/>
      <c r="AZ49" s="369">
        <f t="shared" si="49"/>
        <v>0</v>
      </c>
      <c r="BA49" s="369">
        <f t="shared" si="50"/>
        <v>0</v>
      </c>
      <c r="BB49" s="369">
        <f t="shared" si="51"/>
        <v>0</v>
      </c>
    </row>
    <row r="50" spans="1:54" ht="15.75" x14ac:dyDescent="0.2">
      <c r="A50" s="334"/>
      <c r="B50" s="331"/>
      <c r="C50" s="331" t="s">
        <v>431</v>
      </c>
      <c r="D50" s="364">
        <f t="shared" ref="D50" si="145">SUM(D46:D49)</f>
        <v>0</v>
      </c>
      <c r="E50" s="364">
        <f t="shared" ref="E50:Z50" si="146">SUM(E46:E49)</f>
        <v>0</v>
      </c>
      <c r="F50" s="364">
        <f t="shared" ref="F50" si="147">SUM(F46:F49)</f>
        <v>0</v>
      </c>
      <c r="G50" s="364">
        <f t="shared" ref="G50" si="148">SUM(G46:G49)</f>
        <v>0</v>
      </c>
      <c r="H50" s="364">
        <f t="shared" si="146"/>
        <v>0</v>
      </c>
      <c r="I50" s="364">
        <f t="shared" ref="I50" si="149">SUM(I46:I49)</f>
        <v>0</v>
      </c>
      <c r="J50" s="364">
        <f t="shared" ref="J50" si="150">SUM(J46:J49)</f>
        <v>0</v>
      </c>
      <c r="K50" s="364">
        <f t="shared" si="146"/>
        <v>0</v>
      </c>
      <c r="L50" s="364">
        <f t="shared" ref="L50" si="151">SUM(L46:L49)</f>
        <v>0</v>
      </c>
      <c r="M50" s="364">
        <f t="shared" ref="M50" si="152">SUM(M46:M49)</f>
        <v>0</v>
      </c>
      <c r="N50" s="364">
        <f t="shared" si="146"/>
        <v>0</v>
      </c>
      <c r="O50" s="364">
        <f t="shared" ref="O50" si="153">SUM(O46:O49)</f>
        <v>0</v>
      </c>
      <c r="P50" s="364">
        <f t="shared" ref="P50" si="154">SUM(P46:P49)</f>
        <v>0</v>
      </c>
      <c r="Q50" s="364">
        <f t="shared" si="146"/>
        <v>0</v>
      </c>
      <c r="R50" s="364">
        <f t="shared" ref="R50" si="155">SUM(R46:R49)</f>
        <v>0</v>
      </c>
      <c r="S50" s="364">
        <f t="shared" ref="S50" si="156">SUM(S46:S49)</f>
        <v>0</v>
      </c>
      <c r="T50" s="364">
        <f t="shared" si="146"/>
        <v>0</v>
      </c>
      <c r="U50" s="364">
        <f t="shared" ref="U50" si="157">SUM(U46:U49)</f>
        <v>0</v>
      </c>
      <c r="V50" s="364">
        <f t="shared" ref="V50" si="158">SUM(V46:V49)</f>
        <v>0</v>
      </c>
      <c r="W50" s="364">
        <f t="shared" si="146"/>
        <v>0</v>
      </c>
      <c r="X50" s="364">
        <f t="shared" ref="X50" si="159">SUM(X46:X49)</f>
        <v>0</v>
      </c>
      <c r="Y50" s="364">
        <f t="shared" ref="Y50" si="160">SUM(Y46:Y49)</f>
        <v>0</v>
      </c>
      <c r="Z50" s="364">
        <f t="shared" si="146"/>
        <v>0</v>
      </c>
      <c r="AA50" s="364">
        <f t="shared" ref="AA50" si="161">SUM(AA46:AA49)</f>
        <v>0</v>
      </c>
      <c r="AB50" s="334"/>
      <c r="AC50" s="331"/>
      <c r="AD50" s="331" t="s">
        <v>431</v>
      </c>
      <c r="AE50" s="364">
        <f t="shared" ref="AE50" si="162">SUM(AE46:AE49)</f>
        <v>0</v>
      </c>
      <c r="AF50" s="364">
        <f t="shared" ref="AF50:AY50" si="163">SUM(AF46:AF49)</f>
        <v>0</v>
      </c>
      <c r="AG50" s="364">
        <f t="shared" si="163"/>
        <v>0</v>
      </c>
      <c r="AH50" s="364">
        <f t="shared" si="163"/>
        <v>0</v>
      </c>
      <c r="AI50" s="364">
        <f t="shared" si="163"/>
        <v>0</v>
      </c>
      <c r="AJ50" s="364">
        <f t="shared" si="163"/>
        <v>0</v>
      </c>
      <c r="AK50" s="364">
        <f t="shared" si="163"/>
        <v>0</v>
      </c>
      <c r="AL50" s="364">
        <f t="shared" si="163"/>
        <v>0</v>
      </c>
      <c r="AM50" s="364">
        <f t="shared" si="163"/>
        <v>0</v>
      </c>
      <c r="AN50" s="364">
        <f t="shared" si="163"/>
        <v>0</v>
      </c>
      <c r="AO50" s="364">
        <f t="shared" si="163"/>
        <v>0</v>
      </c>
      <c r="AP50" s="364">
        <f t="shared" si="163"/>
        <v>0</v>
      </c>
      <c r="AQ50" s="364">
        <f t="shared" si="163"/>
        <v>0</v>
      </c>
      <c r="AR50" s="364">
        <f t="shared" si="163"/>
        <v>0</v>
      </c>
      <c r="AS50" s="364">
        <f t="shared" si="163"/>
        <v>0</v>
      </c>
      <c r="AT50" s="364">
        <f t="shared" si="163"/>
        <v>0</v>
      </c>
      <c r="AU50" s="364">
        <f t="shared" si="163"/>
        <v>0</v>
      </c>
      <c r="AV50" s="364">
        <f t="shared" si="163"/>
        <v>0</v>
      </c>
      <c r="AW50" s="364">
        <f t="shared" si="163"/>
        <v>0</v>
      </c>
      <c r="AX50" s="364">
        <f t="shared" si="163"/>
        <v>0</v>
      </c>
      <c r="AY50" s="364">
        <f t="shared" si="163"/>
        <v>0</v>
      </c>
      <c r="AZ50" s="364">
        <f t="shared" si="49"/>
        <v>0</v>
      </c>
      <c r="BA50" s="364">
        <f t="shared" si="50"/>
        <v>0</v>
      </c>
      <c r="BB50" s="364">
        <f t="shared" si="51"/>
        <v>0</v>
      </c>
    </row>
    <row r="51" spans="1:54" ht="15.75" x14ac:dyDescent="0.2">
      <c r="A51" s="334" t="s">
        <v>18</v>
      </c>
      <c r="B51" s="326"/>
      <c r="C51" s="332" t="s">
        <v>432</v>
      </c>
      <c r="D51" s="359"/>
      <c r="E51" s="359"/>
      <c r="F51" s="359"/>
      <c r="G51" s="359"/>
      <c r="H51" s="359"/>
      <c r="I51" s="359"/>
      <c r="J51" s="359"/>
      <c r="K51" s="359"/>
      <c r="L51" s="359"/>
      <c r="M51" s="359"/>
      <c r="N51" s="359"/>
      <c r="O51" s="359"/>
      <c r="P51" s="359"/>
      <c r="Q51" s="359"/>
      <c r="R51" s="359"/>
      <c r="S51" s="359"/>
      <c r="T51" s="359"/>
      <c r="U51" s="359"/>
      <c r="V51" s="359"/>
      <c r="W51" s="359"/>
      <c r="X51" s="359"/>
      <c r="Y51" s="359"/>
      <c r="Z51" s="359"/>
      <c r="AA51" s="359"/>
      <c r="AB51" s="334" t="s">
        <v>18</v>
      </c>
      <c r="AC51" s="326"/>
      <c r="AD51" s="332" t="s">
        <v>432</v>
      </c>
      <c r="AE51" s="359"/>
      <c r="AF51" s="359"/>
      <c r="AG51" s="359"/>
      <c r="AH51" s="359"/>
      <c r="AI51" s="359"/>
      <c r="AJ51" s="359"/>
      <c r="AK51" s="359"/>
      <c r="AL51" s="359"/>
      <c r="AM51" s="359"/>
      <c r="AN51" s="359"/>
      <c r="AO51" s="359"/>
      <c r="AP51" s="359"/>
      <c r="AQ51" s="359"/>
      <c r="AR51" s="359"/>
      <c r="AS51" s="359"/>
      <c r="AT51" s="359"/>
      <c r="AU51" s="359"/>
      <c r="AV51" s="359"/>
      <c r="AW51" s="359"/>
      <c r="AX51" s="359"/>
      <c r="AY51" s="359"/>
      <c r="AZ51" s="369">
        <f t="shared" si="49"/>
        <v>0</v>
      </c>
      <c r="BA51" s="369">
        <f t="shared" si="50"/>
        <v>0</v>
      </c>
      <c r="BB51" s="369">
        <f t="shared" si="51"/>
        <v>0</v>
      </c>
    </row>
    <row r="52" spans="1:54" ht="15.75" x14ac:dyDescent="0.2">
      <c r="A52" s="334"/>
      <c r="B52" s="325" t="s">
        <v>433</v>
      </c>
      <c r="C52" s="326" t="s">
        <v>434</v>
      </c>
      <c r="D52" s="359"/>
      <c r="E52" s="359"/>
      <c r="F52" s="359"/>
      <c r="G52" s="359"/>
      <c r="H52" s="359"/>
      <c r="I52" s="359"/>
      <c r="J52" s="359"/>
      <c r="K52" s="359"/>
      <c r="L52" s="359"/>
      <c r="M52" s="359"/>
      <c r="N52" s="359"/>
      <c r="O52" s="359"/>
      <c r="P52" s="359"/>
      <c r="Q52" s="359"/>
      <c r="R52" s="359"/>
      <c r="S52" s="359"/>
      <c r="T52" s="359"/>
      <c r="U52" s="359"/>
      <c r="V52" s="359"/>
      <c r="W52" s="359"/>
      <c r="X52" s="359"/>
      <c r="Y52" s="359"/>
      <c r="Z52" s="359"/>
      <c r="AA52" s="359"/>
      <c r="AB52" s="334"/>
      <c r="AC52" s="325" t="s">
        <v>433</v>
      </c>
      <c r="AD52" s="326" t="s">
        <v>434</v>
      </c>
      <c r="AE52" s="359"/>
      <c r="AF52" s="359"/>
      <c r="AG52" s="359"/>
      <c r="AH52" s="359"/>
      <c r="AI52" s="359"/>
      <c r="AJ52" s="359"/>
      <c r="AK52" s="359"/>
      <c r="AL52" s="359"/>
      <c r="AM52" s="359"/>
      <c r="AN52" s="359"/>
      <c r="AO52" s="359"/>
      <c r="AP52" s="359"/>
      <c r="AQ52" s="359"/>
      <c r="AR52" s="359"/>
      <c r="AS52" s="359"/>
      <c r="AT52" s="359"/>
      <c r="AU52" s="359"/>
      <c r="AV52" s="359"/>
      <c r="AW52" s="359"/>
      <c r="AX52" s="359"/>
      <c r="AY52" s="359"/>
      <c r="AZ52" s="369">
        <f t="shared" si="49"/>
        <v>0</v>
      </c>
      <c r="BA52" s="369">
        <f t="shared" si="50"/>
        <v>0</v>
      </c>
      <c r="BB52" s="369">
        <f t="shared" si="51"/>
        <v>0</v>
      </c>
    </row>
    <row r="53" spans="1:54" ht="15.75" x14ac:dyDescent="0.2">
      <c r="A53" s="334"/>
      <c r="B53" s="325" t="s">
        <v>435</v>
      </c>
      <c r="C53" s="326" t="s">
        <v>436</v>
      </c>
      <c r="D53" s="359"/>
      <c r="E53" s="359"/>
      <c r="F53" s="359"/>
      <c r="G53" s="359"/>
      <c r="H53" s="359"/>
      <c r="I53" s="359"/>
      <c r="J53" s="359"/>
      <c r="K53" s="359"/>
      <c r="L53" s="359"/>
      <c r="M53" s="359"/>
      <c r="N53" s="359"/>
      <c r="O53" s="359"/>
      <c r="P53" s="359"/>
      <c r="Q53" s="359"/>
      <c r="R53" s="359"/>
      <c r="S53" s="359"/>
      <c r="T53" s="359"/>
      <c r="U53" s="359"/>
      <c r="V53" s="359"/>
      <c r="W53" s="359"/>
      <c r="X53" s="359"/>
      <c r="Y53" s="359"/>
      <c r="Z53" s="359"/>
      <c r="AA53" s="359"/>
      <c r="AB53" s="334"/>
      <c r="AC53" s="325" t="s">
        <v>435</v>
      </c>
      <c r="AD53" s="326" t="s">
        <v>436</v>
      </c>
      <c r="AE53" s="359"/>
      <c r="AF53" s="359"/>
      <c r="AG53" s="359"/>
      <c r="AH53" s="359"/>
      <c r="AI53" s="359"/>
      <c r="AJ53" s="359"/>
      <c r="AK53" s="359"/>
      <c r="AL53" s="359"/>
      <c r="AM53" s="359"/>
      <c r="AN53" s="359"/>
      <c r="AO53" s="359"/>
      <c r="AP53" s="359"/>
      <c r="AQ53" s="359"/>
      <c r="AR53" s="359"/>
      <c r="AS53" s="359"/>
      <c r="AT53" s="359"/>
      <c r="AU53" s="359"/>
      <c r="AV53" s="359"/>
      <c r="AW53" s="359"/>
      <c r="AX53" s="359"/>
      <c r="AY53" s="359"/>
      <c r="AZ53" s="369">
        <f t="shared" si="49"/>
        <v>0</v>
      </c>
      <c r="BA53" s="369">
        <f t="shared" si="50"/>
        <v>0</v>
      </c>
      <c r="BB53" s="369">
        <f t="shared" si="51"/>
        <v>0</v>
      </c>
    </row>
    <row r="54" spans="1:54" ht="15.75" x14ac:dyDescent="0.2">
      <c r="A54" s="334"/>
      <c r="B54" s="326">
        <v>104042</v>
      </c>
      <c r="C54" s="326" t="s">
        <v>437</v>
      </c>
      <c r="D54" s="359"/>
      <c r="E54" s="359"/>
      <c r="F54" s="359"/>
      <c r="G54" s="359"/>
      <c r="H54" s="359"/>
      <c r="I54" s="359"/>
      <c r="J54" s="359"/>
      <c r="K54" s="359"/>
      <c r="L54" s="359"/>
      <c r="M54" s="359"/>
      <c r="N54" s="359"/>
      <c r="O54" s="359"/>
      <c r="P54" s="359"/>
      <c r="Q54" s="359"/>
      <c r="R54" s="359"/>
      <c r="S54" s="359"/>
      <c r="T54" s="359"/>
      <c r="U54" s="359"/>
      <c r="V54" s="359"/>
      <c r="W54" s="359"/>
      <c r="X54" s="359"/>
      <c r="Y54" s="359"/>
      <c r="Z54" s="359"/>
      <c r="AA54" s="359"/>
      <c r="AB54" s="334"/>
      <c r="AC54" s="326">
        <v>104042</v>
      </c>
      <c r="AD54" s="326" t="s">
        <v>437</v>
      </c>
      <c r="AE54" s="359"/>
      <c r="AF54" s="359"/>
      <c r="AG54" s="359"/>
      <c r="AH54" s="359"/>
      <c r="AI54" s="359"/>
      <c r="AJ54" s="359"/>
      <c r="AK54" s="359"/>
      <c r="AL54" s="359"/>
      <c r="AM54" s="359"/>
      <c r="AN54" s="359"/>
      <c r="AO54" s="359"/>
      <c r="AP54" s="359"/>
      <c r="AQ54" s="359"/>
      <c r="AR54" s="359"/>
      <c r="AS54" s="359"/>
      <c r="AT54" s="359"/>
      <c r="AU54" s="359"/>
      <c r="AV54" s="359"/>
      <c r="AW54" s="359"/>
      <c r="AX54" s="359"/>
      <c r="AY54" s="359"/>
      <c r="AZ54" s="369">
        <f t="shared" si="49"/>
        <v>0</v>
      </c>
      <c r="BA54" s="369">
        <f t="shared" si="50"/>
        <v>0</v>
      </c>
      <c r="BB54" s="369">
        <f t="shared" si="51"/>
        <v>0</v>
      </c>
    </row>
    <row r="55" spans="1:54" ht="15.75" x14ac:dyDescent="0.2">
      <c r="A55" s="334"/>
      <c r="B55" s="326">
        <v>104051</v>
      </c>
      <c r="C55" s="326" t="s">
        <v>438</v>
      </c>
      <c r="D55" s="359"/>
      <c r="E55" s="359"/>
      <c r="F55" s="359"/>
      <c r="G55" s="359"/>
      <c r="H55" s="359"/>
      <c r="I55" s="359"/>
      <c r="J55" s="359"/>
      <c r="K55" s="359">
        <v>284000</v>
      </c>
      <c r="L55" s="359">
        <v>284000</v>
      </c>
      <c r="M55" s="359"/>
      <c r="N55" s="359"/>
      <c r="O55" s="359"/>
      <c r="P55" s="359"/>
      <c r="Q55" s="359"/>
      <c r="R55" s="359"/>
      <c r="S55" s="359"/>
      <c r="T55" s="359"/>
      <c r="U55" s="359"/>
      <c r="V55" s="359"/>
      <c r="W55" s="359"/>
      <c r="X55" s="359"/>
      <c r="Y55" s="359"/>
      <c r="Z55" s="359"/>
      <c r="AA55" s="359"/>
      <c r="AB55" s="334"/>
      <c r="AC55" s="326">
        <v>104051</v>
      </c>
      <c r="AD55" s="326" t="s">
        <v>438</v>
      </c>
      <c r="AE55" s="359"/>
      <c r="AF55" s="359"/>
      <c r="AG55" s="359"/>
      <c r="AH55" s="359"/>
      <c r="AI55" s="359"/>
      <c r="AJ55" s="359"/>
      <c r="AK55" s="359"/>
      <c r="AL55" s="359"/>
      <c r="AM55" s="359"/>
      <c r="AN55" s="359"/>
      <c r="AO55" s="359"/>
      <c r="AP55" s="359"/>
      <c r="AQ55" s="359"/>
      <c r="AR55" s="359"/>
      <c r="AS55" s="359"/>
      <c r="AT55" s="359"/>
      <c r="AU55" s="359"/>
      <c r="AV55" s="359"/>
      <c r="AW55" s="359"/>
      <c r="AX55" s="359"/>
      <c r="AY55" s="359"/>
      <c r="AZ55" s="369">
        <f t="shared" si="49"/>
        <v>0</v>
      </c>
      <c r="BA55" s="369">
        <f t="shared" si="50"/>
        <v>284000</v>
      </c>
      <c r="BB55" s="369">
        <f t="shared" si="51"/>
        <v>284000</v>
      </c>
    </row>
    <row r="56" spans="1:54" ht="15.75" x14ac:dyDescent="0.2">
      <c r="A56" s="334"/>
      <c r="B56" s="325" t="s">
        <v>439</v>
      </c>
      <c r="C56" s="327" t="s">
        <v>440</v>
      </c>
      <c r="D56" s="359"/>
      <c r="E56" s="359"/>
      <c r="F56" s="359"/>
      <c r="G56" s="359"/>
      <c r="H56" s="359"/>
      <c r="I56" s="359"/>
      <c r="J56" s="359"/>
      <c r="K56" s="359"/>
      <c r="L56" s="359"/>
      <c r="M56" s="359"/>
      <c r="N56" s="359"/>
      <c r="O56" s="359"/>
      <c r="P56" s="359"/>
      <c r="Q56" s="359"/>
      <c r="R56" s="359"/>
      <c r="S56" s="359">
        <v>9311665</v>
      </c>
      <c r="T56" s="359">
        <v>9993000</v>
      </c>
      <c r="U56" s="359">
        <v>9992830</v>
      </c>
      <c r="V56" s="359"/>
      <c r="W56" s="359"/>
      <c r="X56" s="359"/>
      <c r="Y56" s="359"/>
      <c r="Z56" s="359"/>
      <c r="AA56" s="359"/>
      <c r="AB56" s="334"/>
      <c r="AC56" s="325" t="s">
        <v>439</v>
      </c>
      <c r="AD56" s="327" t="s">
        <v>440</v>
      </c>
      <c r="AE56" s="359"/>
      <c r="AF56" s="359"/>
      <c r="AG56" s="359"/>
      <c r="AH56" s="359"/>
      <c r="AI56" s="359"/>
      <c r="AJ56" s="359"/>
      <c r="AK56" s="359"/>
      <c r="AL56" s="359"/>
      <c r="AM56" s="359"/>
      <c r="AN56" s="359"/>
      <c r="AO56" s="359"/>
      <c r="AP56" s="359"/>
      <c r="AQ56" s="359"/>
      <c r="AR56" s="359"/>
      <c r="AS56" s="359"/>
      <c r="AT56" s="359"/>
      <c r="AU56" s="359"/>
      <c r="AV56" s="359"/>
      <c r="AW56" s="359"/>
      <c r="AX56" s="359"/>
      <c r="AY56" s="359"/>
      <c r="AZ56" s="369">
        <f t="shared" si="49"/>
        <v>9311665</v>
      </c>
      <c r="BA56" s="369">
        <f t="shared" si="50"/>
        <v>9993000</v>
      </c>
      <c r="BB56" s="369">
        <f t="shared" si="51"/>
        <v>9992830</v>
      </c>
    </row>
    <row r="57" spans="1:54" ht="15.75" x14ac:dyDescent="0.2">
      <c r="A57" s="334"/>
      <c r="B57" s="326">
        <v>107052</v>
      </c>
      <c r="C57" s="326" t="s">
        <v>441</v>
      </c>
      <c r="D57" s="359"/>
      <c r="E57" s="359"/>
      <c r="F57" s="359"/>
      <c r="G57" s="359"/>
      <c r="H57" s="359"/>
      <c r="I57" s="359"/>
      <c r="J57" s="359"/>
      <c r="K57" s="359"/>
      <c r="L57" s="359"/>
      <c r="M57" s="359"/>
      <c r="N57" s="359"/>
      <c r="O57" s="359"/>
      <c r="P57" s="359"/>
      <c r="Q57" s="359"/>
      <c r="R57" s="359"/>
      <c r="S57" s="359"/>
      <c r="T57" s="359"/>
      <c r="U57" s="359"/>
      <c r="V57" s="359"/>
      <c r="W57" s="359"/>
      <c r="X57" s="359"/>
      <c r="Y57" s="359"/>
      <c r="Z57" s="359"/>
      <c r="AA57" s="359"/>
      <c r="AB57" s="334"/>
      <c r="AC57" s="326">
        <v>107052</v>
      </c>
      <c r="AD57" s="326" t="s">
        <v>441</v>
      </c>
      <c r="AE57" s="359"/>
      <c r="AF57" s="359"/>
      <c r="AG57" s="359"/>
      <c r="AH57" s="359"/>
      <c r="AI57" s="359"/>
      <c r="AJ57" s="359"/>
      <c r="AK57" s="359"/>
      <c r="AL57" s="359"/>
      <c r="AM57" s="359"/>
      <c r="AN57" s="359"/>
      <c r="AO57" s="359"/>
      <c r="AP57" s="359"/>
      <c r="AQ57" s="359"/>
      <c r="AR57" s="359"/>
      <c r="AS57" s="359"/>
      <c r="AT57" s="359"/>
      <c r="AU57" s="359"/>
      <c r="AV57" s="359"/>
      <c r="AW57" s="359"/>
      <c r="AX57" s="359"/>
      <c r="AY57" s="359"/>
      <c r="AZ57" s="369">
        <f t="shared" si="49"/>
        <v>0</v>
      </c>
      <c r="BA57" s="369">
        <f t="shared" si="50"/>
        <v>0</v>
      </c>
      <c r="BB57" s="369">
        <f t="shared" si="51"/>
        <v>0</v>
      </c>
    </row>
    <row r="58" spans="1:54" ht="15.75" x14ac:dyDescent="0.2">
      <c r="A58" s="323"/>
      <c r="B58" s="325" t="s">
        <v>442</v>
      </c>
      <c r="C58" s="327" t="s">
        <v>443</v>
      </c>
      <c r="D58" s="359"/>
      <c r="E58" s="359"/>
      <c r="F58" s="359"/>
      <c r="G58" s="359"/>
      <c r="H58" s="359"/>
      <c r="I58" s="359"/>
      <c r="J58" s="359"/>
      <c r="K58" s="359"/>
      <c r="L58" s="359"/>
      <c r="M58" s="359"/>
      <c r="N58" s="359"/>
      <c r="O58" s="359"/>
      <c r="P58" s="359"/>
      <c r="Q58" s="359"/>
      <c r="R58" s="359"/>
      <c r="S58" s="359"/>
      <c r="T58" s="359"/>
      <c r="U58" s="359"/>
      <c r="V58" s="359"/>
      <c r="W58" s="359"/>
      <c r="X58" s="359"/>
      <c r="Y58" s="359"/>
      <c r="Z58" s="359"/>
      <c r="AA58" s="359"/>
      <c r="AB58" s="323"/>
      <c r="AC58" s="325" t="s">
        <v>442</v>
      </c>
      <c r="AD58" s="327" t="s">
        <v>443</v>
      </c>
      <c r="AE58" s="359"/>
      <c r="AF58" s="359"/>
      <c r="AG58" s="359"/>
      <c r="AH58" s="359"/>
      <c r="AI58" s="359"/>
      <c r="AJ58" s="359"/>
      <c r="AK58" s="359"/>
      <c r="AL58" s="359"/>
      <c r="AM58" s="359"/>
      <c r="AN58" s="359"/>
      <c r="AO58" s="359"/>
      <c r="AP58" s="359"/>
      <c r="AQ58" s="359"/>
      <c r="AR58" s="359"/>
      <c r="AS58" s="359"/>
      <c r="AT58" s="359"/>
      <c r="AU58" s="359"/>
      <c r="AV58" s="359"/>
      <c r="AW58" s="359"/>
      <c r="AX58" s="359"/>
      <c r="AY58" s="359"/>
      <c r="AZ58" s="369">
        <f t="shared" si="49"/>
        <v>0</v>
      </c>
      <c r="BA58" s="369">
        <f t="shared" si="50"/>
        <v>0</v>
      </c>
      <c r="BB58" s="369">
        <f t="shared" si="51"/>
        <v>0</v>
      </c>
    </row>
    <row r="59" spans="1:54" ht="15.75" x14ac:dyDescent="0.2">
      <c r="A59" s="323"/>
      <c r="B59" s="325" t="s">
        <v>444</v>
      </c>
      <c r="C59" s="327" t="s">
        <v>445</v>
      </c>
      <c r="D59" s="359"/>
      <c r="E59" s="359"/>
      <c r="F59" s="359"/>
      <c r="G59" s="359"/>
      <c r="H59" s="359"/>
      <c r="I59" s="359"/>
      <c r="J59" s="359"/>
      <c r="K59" s="359"/>
      <c r="L59" s="359"/>
      <c r="M59" s="359"/>
      <c r="N59" s="359"/>
      <c r="O59" s="359"/>
      <c r="P59" s="359"/>
      <c r="Q59" s="359"/>
      <c r="R59" s="359"/>
      <c r="S59" s="359"/>
      <c r="T59" s="359">
        <v>40258</v>
      </c>
      <c r="U59" s="359">
        <v>40258</v>
      </c>
      <c r="V59" s="359">
        <v>370000</v>
      </c>
      <c r="W59" s="359">
        <v>1272116</v>
      </c>
      <c r="X59" s="359">
        <v>1272116</v>
      </c>
      <c r="Y59" s="359"/>
      <c r="Z59" s="359"/>
      <c r="AA59" s="359"/>
      <c r="AB59" s="323"/>
      <c r="AC59" s="325" t="s">
        <v>444</v>
      </c>
      <c r="AD59" s="327" t="s">
        <v>445</v>
      </c>
      <c r="AE59" s="359"/>
      <c r="AF59" s="359"/>
      <c r="AG59" s="359"/>
      <c r="AH59" s="359"/>
      <c r="AI59" s="359"/>
      <c r="AJ59" s="359"/>
      <c r="AK59" s="359"/>
      <c r="AL59" s="359"/>
      <c r="AM59" s="359"/>
      <c r="AN59" s="359"/>
      <c r="AO59" s="359"/>
      <c r="AP59" s="359"/>
      <c r="AQ59" s="359"/>
      <c r="AR59" s="359"/>
      <c r="AS59" s="359"/>
      <c r="AT59" s="359"/>
      <c r="AU59" s="359"/>
      <c r="AV59" s="359"/>
      <c r="AW59" s="359"/>
      <c r="AX59" s="359"/>
      <c r="AY59" s="359"/>
      <c r="AZ59" s="369">
        <f t="shared" si="49"/>
        <v>370000</v>
      </c>
      <c r="BA59" s="369">
        <f t="shared" si="50"/>
        <v>1312374</v>
      </c>
      <c r="BB59" s="369">
        <f t="shared" si="51"/>
        <v>1312374</v>
      </c>
    </row>
    <row r="60" spans="1:54" ht="15.75" x14ac:dyDescent="0.2">
      <c r="A60" s="329"/>
      <c r="B60" s="330"/>
      <c r="C60" s="331" t="s">
        <v>446</v>
      </c>
      <c r="D60" s="364">
        <f>SUM(D52:D59)</f>
        <v>0</v>
      </c>
      <c r="E60" s="364">
        <f>SUM(E52:E59)</f>
        <v>0</v>
      </c>
      <c r="F60" s="364">
        <f>SUM(F52:F59)</f>
        <v>0</v>
      </c>
      <c r="G60" s="364">
        <f t="shared" ref="G60" si="164">SUM(G52:G59)</f>
        <v>0</v>
      </c>
      <c r="H60" s="364">
        <f t="shared" ref="H60:W60" si="165">SUM(H52:H59)</f>
        <v>0</v>
      </c>
      <c r="I60" s="364">
        <f>SUM(I52:I59)</f>
        <v>0</v>
      </c>
      <c r="J60" s="364">
        <f t="shared" ref="J60" si="166">SUM(J52:J59)</f>
        <v>0</v>
      </c>
      <c r="K60" s="364">
        <f t="shared" si="165"/>
        <v>284000</v>
      </c>
      <c r="L60" s="364">
        <f>SUM(L52:L59)</f>
        <v>284000</v>
      </c>
      <c r="M60" s="364">
        <f t="shared" ref="M60" si="167">SUM(M52:M59)</f>
        <v>0</v>
      </c>
      <c r="N60" s="364">
        <f t="shared" si="165"/>
        <v>0</v>
      </c>
      <c r="O60" s="364">
        <f>SUM(O52:O59)</f>
        <v>0</v>
      </c>
      <c r="P60" s="364">
        <f t="shared" ref="P60" si="168">SUM(P52:P59)</f>
        <v>0</v>
      </c>
      <c r="Q60" s="364">
        <f t="shared" si="165"/>
        <v>0</v>
      </c>
      <c r="R60" s="364">
        <f>SUM(R52:R59)</f>
        <v>0</v>
      </c>
      <c r="S60" s="364">
        <f t="shared" ref="S60" si="169">SUM(S52:S59)</f>
        <v>9311665</v>
      </c>
      <c r="T60" s="364">
        <f t="shared" si="165"/>
        <v>10033258</v>
      </c>
      <c r="U60" s="364">
        <f>SUM(U52:U59)</f>
        <v>10033088</v>
      </c>
      <c r="V60" s="364">
        <f t="shared" ref="V60" si="170">SUM(V52:V59)</f>
        <v>370000</v>
      </c>
      <c r="W60" s="364">
        <f t="shared" si="165"/>
        <v>1272116</v>
      </c>
      <c r="X60" s="364">
        <f>SUM(X52:X59)</f>
        <v>1272116</v>
      </c>
      <c r="Y60" s="364">
        <f t="shared" ref="Y60" si="171">SUM(Y52:Y59)</f>
        <v>0</v>
      </c>
      <c r="Z60" s="364">
        <f>SUM(Z52:Z59)</f>
        <v>0</v>
      </c>
      <c r="AA60" s="364">
        <f>SUM(AA52:AA59)</f>
        <v>0</v>
      </c>
      <c r="AB60" s="329"/>
      <c r="AC60" s="330"/>
      <c r="AD60" s="331" t="s">
        <v>446</v>
      </c>
      <c r="AE60" s="364">
        <f t="shared" ref="AE60" si="172">SUM(AE52:AE59)</f>
        <v>0</v>
      </c>
      <c r="AF60" s="364">
        <f t="shared" ref="AF60:AX60" si="173">SUM(AF52:AF59)</f>
        <v>0</v>
      </c>
      <c r="AG60" s="364">
        <f>SUM(AG52:AG59)</f>
        <v>0</v>
      </c>
      <c r="AH60" s="364">
        <f t="shared" si="173"/>
        <v>0</v>
      </c>
      <c r="AI60" s="364">
        <f t="shared" si="173"/>
        <v>0</v>
      </c>
      <c r="AJ60" s="364">
        <f>SUM(AJ52:AJ59)</f>
        <v>0</v>
      </c>
      <c r="AK60" s="364">
        <f t="shared" si="173"/>
        <v>0</v>
      </c>
      <c r="AL60" s="364">
        <f t="shared" si="173"/>
        <v>0</v>
      </c>
      <c r="AM60" s="364">
        <f>SUM(AM52:AM59)</f>
        <v>0</v>
      </c>
      <c r="AN60" s="364">
        <f t="shared" si="173"/>
        <v>0</v>
      </c>
      <c r="AO60" s="364">
        <f t="shared" si="173"/>
        <v>0</v>
      </c>
      <c r="AP60" s="364">
        <f>SUM(AP52:AP59)</f>
        <v>0</v>
      </c>
      <c r="AQ60" s="364">
        <f t="shared" si="173"/>
        <v>0</v>
      </c>
      <c r="AR60" s="364">
        <f t="shared" si="173"/>
        <v>0</v>
      </c>
      <c r="AS60" s="364">
        <f>SUM(AS52:AS59)</f>
        <v>0</v>
      </c>
      <c r="AT60" s="364">
        <f t="shared" si="173"/>
        <v>0</v>
      </c>
      <c r="AU60" s="364">
        <f t="shared" si="173"/>
        <v>0</v>
      </c>
      <c r="AV60" s="364">
        <f>SUM(AV52:AV59)</f>
        <v>0</v>
      </c>
      <c r="AW60" s="364">
        <f t="shared" si="173"/>
        <v>0</v>
      </c>
      <c r="AX60" s="364">
        <f t="shared" si="173"/>
        <v>0</v>
      </c>
      <c r="AY60" s="364">
        <f>SUM(AY52:AY59)</f>
        <v>0</v>
      </c>
      <c r="AZ60" s="364">
        <f>SUM(AZ52:AZ59)</f>
        <v>9681665</v>
      </c>
      <c r="BA60" s="364">
        <f>SUM(BA52:BA59)</f>
        <v>11589374</v>
      </c>
      <c r="BB60" s="364">
        <f>SUM(BB52:BB59)</f>
        <v>11589204</v>
      </c>
    </row>
    <row r="61" spans="1:54" ht="15.75" x14ac:dyDescent="0.2">
      <c r="A61" s="329"/>
      <c r="B61" s="337" t="s">
        <v>447</v>
      </c>
      <c r="C61" s="338" t="s">
        <v>448</v>
      </c>
      <c r="D61" s="366"/>
      <c r="E61" s="366"/>
      <c r="F61" s="366"/>
      <c r="G61" s="366"/>
      <c r="H61" s="366"/>
      <c r="I61" s="366"/>
      <c r="J61" s="366"/>
      <c r="K61" s="366"/>
      <c r="L61" s="366"/>
      <c r="M61" s="366"/>
      <c r="N61" s="366"/>
      <c r="O61" s="366"/>
      <c r="P61" s="365">
        <v>473500000</v>
      </c>
      <c r="Q61" s="367">
        <v>561780529</v>
      </c>
      <c r="R61" s="365">
        <v>561780529</v>
      </c>
      <c r="S61" s="366"/>
      <c r="T61" s="366"/>
      <c r="U61" s="366"/>
      <c r="V61" s="366"/>
      <c r="W61" s="366"/>
      <c r="X61" s="366"/>
      <c r="Y61" s="366"/>
      <c r="Z61" s="366"/>
      <c r="AA61" s="366"/>
      <c r="AB61" s="329"/>
      <c r="AC61" s="337" t="s">
        <v>447</v>
      </c>
      <c r="AD61" s="338" t="s">
        <v>448</v>
      </c>
      <c r="AE61" s="366"/>
      <c r="AF61" s="366"/>
      <c r="AG61" s="366"/>
      <c r="AH61" s="366"/>
      <c r="AI61" s="366"/>
      <c r="AJ61" s="366"/>
      <c r="AK61" s="366"/>
      <c r="AL61" s="366"/>
      <c r="AM61" s="366"/>
      <c r="AN61" s="366"/>
      <c r="AO61" s="366">
        <f t="shared" ref="AO61:AU62" si="174">SUM(AO56:AO59)</f>
        <v>0</v>
      </c>
      <c r="AP61" s="366"/>
      <c r="AQ61" s="366"/>
      <c r="AR61" s="366">
        <f t="shared" si="174"/>
        <v>0</v>
      </c>
      <c r="AS61" s="366"/>
      <c r="AT61" s="366"/>
      <c r="AU61" s="366">
        <f t="shared" si="174"/>
        <v>0</v>
      </c>
      <c r="AV61" s="366"/>
      <c r="AW61" s="366"/>
      <c r="AX61" s="366"/>
      <c r="AY61" s="366"/>
      <c r="AZ61" s="369">
        <f t="shared" ref="AZ61:BB62" si="175">SUM(D61+G61+J61+M61+P61+S61+V61+Y61+AE61+AH61+AK61+AN61+AQ61+AW61+AT61)</f>
        <v>473500000</v>
      </c>
      <c r="BA61" s="369">
        <f t="shared" si="175"/>
        <v>561780529</v>
      </c>
      <c r="BB61" s="369">
        <f t="shared" si="175"/>
        <v>561780529</v>
      </c>
    </row>
    <row r="62" spans="1:54" ht="15.75" x14ac:dyDescent="0.2">
      <c r="A62" s="329"/>
      <c r="B62" s="337" t="s">
        <v>503</v>
      </c>
      <c r="C62" s="338" t="s">
        <v>507</v>
      </c>
      <c r="D62" s="366"/>
      <c r="E62" s="366"/>
      <c r="F62" s="366"/>
      <c r="G62" s="366"/>
      <c r="H62" s="366"/>
      <c r="I62" s="366"/>
      <c r="J62" s="366"/>
      <c r="K62" s="366"/>
      <c r="L62" s="366"/>
      <c r="M62" s="366"/>
      <c r="N62" s="366"/>
      <c r="O62" s="366"/>
      <c r="P62" s="366"/>
      <c r="Q62" s="367"/>
      <c r="R62" s="366"/>
      <c r="S62" s="365">
        <v>5800000</v>
      </c>
      <c r="T62" s="365">
        <v>5550000</v>
      </c>
      <c r="U62" s="365">
        <v>5550000</v>
      </c>
      <c r="V62" s="366"/>
      <c r="W62" s="366"/>
      <c r="X62" s="366"/>
      <c r="Y62" s="366"/>
      <c r="Z62" s="366"/>
      <c r="AA62" s="366"/>
      <c r="AB62" s="329"/>
      <c r="AC62" s="337" t="s">
        <v>503</v>
      </c>
      <c r="AD62" s="338" t="s">
        <v>507</v>
      </c>
      <c r="AE62" s="366"/>
      <c r="AF62" s="366"/>
      <c r="AG62" s="366"/>
      <c r="AH62" s="366"/>
      <c r="AI62" s="366"/>
      <c r="AJ62" s="366"/>
      <c r="AK62" s="366"/>
      <c r="AL62" s="366"/>
      <c r="AM62" s="366"/>
      <c r="AN62" s="366"/>
      <c r="AO62" s="366">
        <f t="shared" si="174"/>
        <v>0</v>
      </c>
      <c r="AP62" s="366"/>
      <c r="AQ62" s="366"/>
      <c r="AR62" s="366">
        <f t="shared" si="174"/>
        <v>0</v>
      </c>
      <c r="AS62" s="366"/>
      <c r="AT62" s="365">
        <v>340000000</v>
      </c>
      <c r="AU62" s="365">
        <f>'3.sz.m.bevételek jogcímenként'!D66</f>
        <v>340000000</v>
      </c>
      <c r="AV62" s="365">
        <v>340000000</v>
      </c>
      <c r="AW62" s="366"/>
      <c r="AX62" s="366"/>
      <c r="AY62" s="366"/>
      <c r="AZ62" s="369">
        <f t="shared" si="175"/>
        <v>345800000</v>
      </c>
      <c r="BA62" s="369">
        <f t="shared" si="175"/>
        <v>345550000</v>
      </c>
      <c r="BB62" s="369">
        <f t="shared" si="175"/>
        <v>345550000</v>
      </c>
    </row>
    <row r="63" spans="1:54" ht="15.75" x14ac:dyDescent="0.2">
      <c r="A63" s="878" t="s">
        <v>449</v>
      </c>
      <c r="B63" s="879"/>
      <c r="C63" s="880"/>
      <c r="D63" s="368">
        <f t="shared" ref="D63" si="176">SUM(D11,D18,D23,D30,D37,D44,D60,D50,D62,D61)</f>
        <v>369329920</v>
      </c>
      <c r="E63" s="368">
        <f t="shared" ref="E63:Z63" si="177">SUM(E11,E18,E23,E30,E37,E44,E60,E50,E62,E61)</f>
        <v>386012122</v>
      </c>
      <c r="F63" s="368">
        <f t="shared" ref="F63" si="178">SUM(F11,F18,F23,F30,F37,F44,F60,F50,F62,F61)</f>
        <v>386012122</v>
      </c>
      <c r="G63" s="368">
        <f t="shared" ref="G63" si="179">SUM(G11,G18,G23,G30,G37,G44,G60,G50,G62,G61)</f>
        <v>0</v>
      </c>
      <c r="H63" s="368">
        <f t="shared" si="177"/>
        <v>10627629</v>
      </c>
      <c r="I63" s="368">
        <f t="shared" ref="I63" si="180">SUM(I11,I18,I23,I30,I37,I44,I60,I50,I62,I61)</f>
        <v>10627629</v>
      </c>
      <c r="J63" s="368">
        <f t="shared" ref="J63" si="181">SUM(J11,J18,J23,J30,J37,J44,J60,J50,J62,J61)</f>
        <v>62712225</v>
      </c>
      <c r="K63" s="368">
        <f t="shared" si="177"/>
        <v>115907594</v>
      </c>
      <c r="L63" s="368">
        <f t="shared" ref="L63" si="182">SUM(L11,L18,L23,L30,L37,L44,L60,L50,L62,L61)</f>
        <v>112819588</v>
      </c>
      <c r="M63" s="368">
        <f t="shared" ref="M63" si="183">SUM(M11,M18,M23,M30,M37,M44,M60,M50,M62,M61)</f>
        <v>569645184</v>
      </c>
      <c r="N63" s="368">
        <f t="shared" si="177"/>
        <v>755835745</v>
      </c>
      <c r="O63" s="368">
        <f t="shared" ref="O63" si="184">SUM(O11,O18,O23,O30,O37,O44,O60,O50,O62,O61)</f>
        <v>640895440</v>
      </c>
      <c r="P63" s="368">
        <f t="shared" ref="P63" si="185">SUM(P11,P18,P23,P30,P37,P44,P60,P50,P62,P61)</f>
        <v>473500000</v>
      </c>
      <c r="Q63" s="368">
        <f t="shared" si="177"/>
        <v>561780529</v>
      </c>
      <c r="R63" s="368">
        <f t="shared" ref="R63" si="186">SUM(R11,R18,R23,R30,R37,R44,R60,R50,R62,R61)</f>
        <v>561780529</v>
      </c>
      <c r="S63" s="368">
        <f t="shared" ref="S63" si="187">SUM(S11,S18,S23,S30,S37,S44,S60,S50,S62,S61)</f>
        <v>80313766</v>
      </c>
      <c r="T63" s="368">
        <f t="shared" si="177"/>
        <v>89038368</v>
      </c>
      <c r="U63" s="368">
        <f t="shared" ref="U63" si="188">SUM(U11,U18,U23,U30,U37,U44,U60,U50,U62,U61)</f>
        <v>74176563</v>
      </c>
      <c r="V63" s="368">
        <f t="shared" ref="V63" si="189">SUM(V11,V18,V23,V30,V37,V44,V60,V50,V62,V61)</f>
        <v>370000</v>
      </c>
      <c r="W63" s="368">
        <f t="shared" si="177"/>
        <v>1272116</v>
      </c>
      <c r="X63" s="368">
        <f t="shared" ref="X63" si="190">SUM(X11,X18,X23,X30,X37,X44,X60,X50,X62,X61)</f>
        <v>1272116</v>
      </c>
      <c r="Y63" s="368">
        <f t="shared" ref="Y63" si="191">SUM(Y11,Y18,Y23,Y30,Y37,Y44,Y60,Y50,Y62,Y61)</f>
        <v>0</v>
      </c>
      <c r="Z63" s="368">
        <f t="shared" si="177"/>
        <v>0</v>
      </c>
      <c r="AA63" s="368">
        <f t="shared" ref="AA63" si="192">SUM(AA11,AA18,AA23,AA30,AA37,AA44,AA60,AA50,AA62,AA61)</f>
        <v>0</v>
      </c>
      <c r="AB63" s="878" t="s">
        <v>449</v>
      </c>
      <c r="AC63" s="879"/>
      <c r="AD63" s="880"/>
      <c r="AE63" s="368">
        <f t="shared" ref="AE63" si="193">SUM(AE11,AE18,AE23,AE30,AE37,AE44,AE60,AE50,AE62,AE61)</f>
        <v>0</v>
      </c>
      <c r="AF63" s="368">
        <f t="shared" ref="AF63:BA63" si="194">SUM(AF11,AF18,AF23,AF30,AF37,AF44,AF60,AF50,AF62,AF61)</f>
        <v>2200000</v>
      </c>
      <c r="AG63" s="368">
        <f t="shared" si="194"/>
        <v>2200000</v>
      </c>
      <c r="AH63" s="368">
        <f t="shared" si="194"/>
        <v>705000</v>
      </c>
      <c r="AI63" s="368">
        <f t="shared" si="194"/>
        <v>1155145</v>
      </c>
      <c r="AJ63" s="368">
        <f t="shared" si="194"/>
        <v>1155145</v>
      </c>
      <c r="AK63" s="368">
        <f t="shared" si="194"/>
        <v>408000</v>
      </c>
      <c r="AL63" s="368">
        <f t="shared" si="194"/>
        <v>9995067</v>
      </c>
      <c r="AM63" s="368">
        <f t="shared" si="194"/>
        <v>9995067</v>
      </c>
      <c r="AN63" s="368">
        <f t="shared" si="194"/>
        <v>0</v>
      </c>
      <c r="AO63" s="368">
        <f t="shared" si="194"/>
        <v>0</v>
      </c>
      <c r="AP63" s="368">
        <f t="shared" si="194"/>
        <v>0</v>
      </c>
      <c r="AQ63" s="368">
        <f t="shared" si="194"/>
        <v>0</v>
      </c>
      <c r="AR63" s="368">
        <f t="shared" si="194"/>
        <v>16407220</v>
      </c>
      <c r="AS63" s="368">
        <f t="shared" si="194"/>
        <v>16407220</v>
      </c>
      <c r="AT63" s="368">
        <f t="shared" si="194"/>
        <v>340000000</v>
      </c>
      <c r="AU63" s="368">
        <f t="shared" si="194"/>
        <v>340000000</v>
      </c>
      <c r="AV63" s="368">
        <f t="shared" si="194"/>
        <v>340000000</v>
      </c>
      <c r="AW63" s="368">
        <f t="shared" si="194"/>
        <v>55813230</v>
      </c>
      <c r="AX63" s="368">
        <f t="shared" si="194"/>
        <v>54149937</v>
      </c>
      <c r="AY63" s="368">
        <f t="shared" si="194"/>
        <v>54149937</v>
      </c>
      <c r="AZ63" s="368">
        <f t="shared" ref="AZ63" si="195">SUM(AZ11,AZ18,AZ23,AZ30,AZ37,AZ44,AZ60,AZ50,AZ62,AZ61)</f>
        <v>1952797325</v>
      </c>
      <c r="BA63" s="368">
        <f t="shared" si="194"/>
        <v>2344381472</v>
      </c>
      <c r="BB63" s="368">
        <f t="shared" ref="BB63" si="196">SUM(BB11,BB18,BB23,BB30,BB37,BB44,BB60,BB50,BB62,BB61)</f>
        <v>2211491356</v>
      </c>
    </row>
    <row r="64" spans="1:54" ht="15.75" x14ac:dyDescent="0.25">
      <c r="A64" s="322"/>
      <c r="B64" s="325"/>
      <c r="C64" s="339" t="s">
        <v>450</v>
      </c>
      <c r="D64" s="362"/>
      <c r="E64" s="362"/>
      <c r="F64" s="362"/>
      <c r="G64" s="362"/>
      <c r="H64" s="362"/>
      <c r="I64" s="362"/>
      <c r="J64" s="362"/>
      <c r="K64" s="362"/>
      <c r="L64" s="362"/>
      <c r="M64" s="362"/>
      <c r="N64" s="362"/>
      <c r="O64" s="362"/>
      <c r="P64" s="362"/>
      <c r="Q64" s="362"/>
      <c r="R64" s="362"/>
      <c r="S64" s="362"/>
      <c r="T64" s="362"/>
      <c r="U64" s="362"/>
      <c r="V64" s="362"/>
      <c r="W64" s="362"/>
      <c r="X64" s="362"/>
      <c r="Y64" s="362"/>
      <c r="Z64" s="362"/>
      <c r="AA64" s="362"/>
      <c r="AB64" s="322"/>
      <c r="AC64" s="325"/>
      <c r="AD64" s="339" t="s">
        <v>450</v>
      </c>
      <c r="AE64" s="362"/>
      <c r="AF64" s="362"/>
      <c r="AG64" s="362"/>
      <c r="AH64" s="362"/>
      <c r="AI64" s="362"/>
      <c r="AJ64" s="362"/>
      <c r="AK64" s="362"/>
      <c r="AL64" s="362"/>
      <c r="AM64" s="362"/>
      <c r="AN64" s="362"/>
      <c r="AO64" s="362"/>
      <c r="AP64" s="362"/>
      <c r="AQ64" s="362"/>
      <c r="AR64" s="362"/>
      <c r="AS64" s="362"/>
      <c r="AT64" s="362"/>
      <c r="AU64" s="362"/>
      <c r="AV64" s="362"/>
      <c r="AW64" s="362"/>
      <c r="AX64" s="362"/>
      <c r="AY64" s="362"/>
      <c r="AZ64" s="369">
        <f t="shared" ref="AZ64:BB66" si="197">SUM(D64+G64+J64+M64+P64+S64+V64+Y64+AE64+AH64+AK64+AN64+AQ64+AW64+AT64)</f>
        <v>0</v>
      </c>
      <c r="BA64" s="369">
        <f t="shared" si="197"/>
        <v>0</v>
      </c>
      <c r="BB64" s="369">
        <f t="shared" si="197"/>
        <v>0</v>
      </c>
    </row>
    <row r="65" spans="1:54" ht="15.75" x14ac:dyDescent="0.25">
      <c r="A65" s="322"/>
      <c r="B65" s="325"/>
      <c r="C65" s="340" t="s">
        <v>451</v>
      </c>
      <c r="D65" s="359"/>
      <c r="E65" s="359"/>
      <c r="F65" s="359"/>
      <c r="G65" s="359"/>
      <c r="H65" s="359"/>
      <c r="I65" s="359"/>
      <c r="J65" s="359"/>
      <c r="K65" s="359"/>
      <c r="L65" s="359"/>
      <c r="M65" s="359"/>
      <c r="N65" s="359"/>
      <c r="O65" s="359"/>
      <c r="P65" s="359"/>
      <c r="Q65" s="359"/>
      <c r="R65" s="359"/>
      <c r="S65" s="359"/>
      <c r="T65" s="359"/>
      <c r="U65" s="359"/>
      <c r="V65" s="359"/>
      <c r="W65" s="359"/>
      <c r="X65" s="359"/>
      <c r="Y65" s="359"/>
      <c r="Z65" s="359"/>
      <c r="AA65" s="359"/>
      <c r="AB65" s="322"/>
      <c r="AC65" s="325"/>
      <c r="AD65" s="340" t="s">
        <v>451</v>
      </c>
      <c r="AE65" s="359"/>
      <c r="AF65" s="359"/>
      <c r="AG65" s="359"/>
      <c r="AH65" s="359"/>
      <c r="AI65" s="359"/>
      <c r="AJ65" s="359"/>
      <c r="AK65" s="359"/>
      <c r="AL65" s="359"/>
      <c r="AM65" s="359"/>
      <c r="AN65" s="359"/>
      <c r="AO65" s="359"/>
      <c r="AP65" s="359"/>
      <c r="AQ65" s="359"/>
      <c r="AR65" s="359"/>
      <c r="AS65" s="359"/>
      <c r="AT65" s="359"/>
      <c r="AU65" s="359"/>
      <c r="AV65" s="359"/>
      <c r="AW65" s="359"/>
      <c r="AX65" s="359"/>
      <c r="AY65" s="359"/>
      <c r="AZ65" s="369">
        <f t="shared" si="197"/>
        <v>0</v>
      </c>
      <c r="BA65" s="369">
        <f t="shared" si="197"/>
        <v>0</v>
      </c>
      <c r="BB65" s="369">
        <f t="shared" si="197"/>
        <v>0</v>
      </c>
    </row>
    <row r="66" spans="1:54" ht="15.75" x14ac:dyDescent="0.25">
      <c r="A66" s="322"/>
      <c r="B66" s="325" t="s">
        <v>359</v>
      </c>
      <c r="C66" s="326" t="s">
        <v>360</v>
      </c>
      <c r="D66" s="359"/>
      <c r="E66" s="359"/>
      <c r="F66" s="359"/>
      <c r="G66" s="359"/>
      <c r="H66" s="359"/>
      <c r="I66" s="359"/>
      <c r="J66" s="359">
        <v>12255000</v>
      </c>
      <c r="K66" s="359">
        <v>16059081</v>
      </c>
      <c r="L66" s="359">
        <v>16059081</v>
      </c>
      <c r="M66" s="359"/>
      <c r="N66" s="359"/>
      <c r="O66" s="359"/>
      <c r="P66" s="359"/>
      <c r="Q66" s="359"/>
      <c r="R66" s="359"/>
      <c r="S66" s="359">
        <v>2100000</v>
      </c>
      <c r="T66" s="359">
        <v>2223173</v>
      </c>
      <c r="U66" s="359">
        <v>2227161</v>
      </c>
      <c r="V66" s="359"/>
      <c r="W66" s="359"/>
      <c r="X66" s="359"/>
      <c r="Y66" s="359"/>
      <c r="Z66" s="359"/>
      <c r="AA66" s="359"/>
      <c r="AB66" s="322"/>
      <c r="AC66" s="325" t="s">
        <v>359</v>
      </c>
      <c r="AD66" s="326" t="s">
        <v>360</v>
      </c>
      <c r="AE66" s="359"/>
      <c r="AF66" s="359">
        <v>17000</v>
      </c>
      <c r="AG66" s="359">
        <v>17000</v>
      </c>
      <c r="AH66" s="359"/>
      <c r="AI66" s="359">
        <v>75000</v>
      </c>
      <c r="AJ66" s="359">
        <v>75000</v>
      </c>
      <c r="AK66" s="359"/>
      <c r="AL66" s="359"/>
      <c r="AM66" s="359"/>
      <c r="AN66" s="359"/>
      <c r="AO66" s="359"/>
      <c r="AP66" s="359"/>
      <c r="AQ66" s="359"/>
      <c r="AR66" s="359"/>
      <c r="AS66" s="359"/>
      <c r="AT66" s="359"/>
      <c r="AU66" s="359"/>
      <c r="AV66" s="359"/>
      <c r="AW66" s="359"/>
      <c r="AX66" s="359"/>
      <c r="AY66" s="359"/>
      <c r="AZ66" s="369">
        <f t="shared" si="197"/>
        <v>14355000</v>
      </c>
      <c r="BA66" s="369">
        <f t="shared" si="197"/>
        <v>18374254</v>
      </c>
      <c r="BB66" s="369">
        <f t="shared" si="197"/>
        <v>18378242</v>
      </c>
    </row>
    <row r="67" spans="1:54" ht="15.75" x14ac:dyDescent="0.25">
      <c r="A67" s="322"/>
      <c r="B67" s="325" t="s">
        <v>775</v>
      </c>
      <c r="C67" s="326" t="s">
        <v>776</v>
      </c>
      <c r="D67" s="359"/>
      <c r="E67" s="359"/>
      <c r="F67" s="359"/>
      <c r="G67" s="359"/>
      <c r="H67" s="359"/>
      <c r="I67" s="359"/>
      <c r="J67" s="359"/>
      <c r="K67" s="359">
        <v>1462088</v>
      </c>
      <c r="L67" s="359">
        <v>1462088</v>
      </c>
      <c r="M67" s="359"/>
      <c r="N67" s="359"/>
      <c r="O67" s="359"/>
      <c r="P67" s="359"/>
      <c r="Q67" s="359"/>
      <c r="R67" s="359"/>
      <c r="S67" s="359"/>
      <c r="T67" s="359"/>
      <c r="U67" s="359"/>
      <c r="V67" s="359"/>
      <c r="W67" s="359"/>
      <c r="X67" s="359"/>
      <c r="Y67" s="359"/>
      <c r="Z67" s="359"/>
      <c r="AA67" s="359"/>
      <c r="AB67" s="322"/>
      <c r="AC67" s="325" t="s">
        <v>775</v>
      </c>
      <c r="AD67" s="326" t="s">
        <v>776</v>
      </c>
      <c r="AE67" s="359"/>
      <c r="AF67" s="359"/>
      <c r="AG67" s="359"/>
      <c r="AH67" s="359"/>
      <c r="AI67" s="359"/>
      <c r="AJ67" s="359"/>
      <c r="AK67" s="359"/>
      <c r="AL67" s="359"/>
      <c r="AM67" s="359"/>
      <c r="AN67" s="359"/>
      <c r="AO67" s="359"/>
      <c r="AP67" s="359"/>
      <c r="AQ67" s="359"/>
      <c r="AR67" s="359"/>
      <c r="AS67" s="359"/>
      <c r="AT67" s="359"/>
      <c r="AU67" s="359"/>
      <c r="AV67" s="359"/>
      <c r="AW67" s="359"/>
      <c r="AX67" s="359"/>
      <c r="AY67" s="359"/>
      <c r="AZ67" s="369">
        <f t="shared" ref="AZ67" si="198">SUM(D67+G67+J67+M67+P67+S67+V67+Y67+AE67+AH67+AK67+AN67+AQ67+AW67+AT67)</f>
        <v>0</v>
      </c>
      <c r="BA67" s="369">
        <f t="shared" ref="BA67:BB67" si="199">SUM(E67+H67+K67+N67+Q67+T67+W67+Z67+AF67+AI67+AL67+AO67+AR67+AX67+AU67)</f>
        <v>1462088</v>
      </c>
      <c r="BB67" s="369">
        <f t="shared" si="199"/>
        <v>1462088</v>
      </c>
    </row>
    <row r="68" spans="1:54" ht="15.75" x14ac:dyDescent="0.25">
      <c r="A68" s="322"/>
      <c r="B68" s="325" t="s">
        <v>367</v>
      </c>
      <c r="C68" s="326" t="s">
        <v>368</v>
      </c>
      <c r="D68" s="359"/>
      <c r="E68" s="359"/>
      <c r="F68" s="359"/>
      <c r="G68" s="359"/>
      <c r="H68" s="359"/>
      <c r="I68" s="359"/>
      <c r="J68" s="359"/>
      <c r="K68" s="359"/>
      <c r="L68" s="359"/>
      <c r="M68" s="359"/>
      <c r="N68" s="359"/>
      <c r="O68" s="359"/>
      <c r="P68" s="359"/>
      <c r="Q68" s="359"/>
      <c r="R68" s="359"/>
      <c r="S68" s="359"/>
      <c r="T68" s="359"/>
      <c r="U68" s="359"/>
      <c r="V68" s="359"/>
      <c r="W68" s="359"/>
      <c r="X68" s="359"/>
      <c r="Y68" s="359"/>
      <c r="Z68" s="359"/>
      <c r="AA68" s="359"/>
      <c r="AB68" s="322"/>
      <c r="AC68" s="325" t="s">
        <v>367</v>
      </c>
      <c r="AD68" s="326" t="s">
        <v>452</v>
      </c>
      <c r="AE68" s="359"/>
      <c r="AF68" s="359"/>
      <c r="AG68" s="359"/>
      <c r="AH68" s="359"/>
      <c r="AI68" s="359"/>
      <c r="AJ68" s="359"/>
      <c r="AK68" s="359"/>
      <c r="AL68" s="359"/>
      <c r="AM68" s="359"/>
      <c r="AN68" s="359"/>
      <c r="AO68" s="359"/>
      <c r="AP68" s="359"/>
      <c r="AQ68" s="359"/>
      <c r="AR68" s="359"/>
      <c r="AS68" s="359"/>
      <c r="AT68" s="359"/>
      <c r="AU68" s="359"/>
      <c r="AV68" s="359"/>
      <c r="AW68" s="359"/>
      <c r="AX68" s="359">
        <v>5918207</v>
      </c>
      <c r="AY68" s="359">
        <v>5918207</v>
      </c>
      <c r="AZ68" s="369">
        <f t="shared" ref="AZ68:AZ89" si="200">SUM(D68+G68+J68+M68+P68+S68+V68+Y68+AE68+AH68+AK68+AN68+AQ68+AW68+AT68)</f>
        <v>0</v>
      </c>
      <c r="BA68" s="369">
        <f t="shared" ref="BA68:BA89" si="201">SUM(E68+H68+K68+N68+Q68+T68+W68+Z68+AF68+AI68+AL68+AO68+AR68+AX68+AU68)</f>
        <v>5918207</v>
      </c>
      <c r="BB68" s="369">
        <f t="shared" ref="BB68:BB89" si="202">SUM(F68+I68+L68+O68+R68+U68+X68+AA68+AG68+AJ68+AM68+AP68+AS68+AY68+AV68)</f>
        <v>5918207</v>
      </c>
    </row>
    <row r="69" spans="1:54" ht="15.75" x14ac:dyDescent="0.2">
      <c r="A69" s="878" t="s">
        <v>504</v>
      </c>
      <c r="B69" s="879"/>
      <c r="C69" s="880"/>
      <c r="D69" s="368">
        <f t="shared" ref="D69" si="203">SUM(D66:D68)</f>
        <v>0</v>
      </c>
      <c r="E69" s="368">
        <f t="shared" ref="E69:Z69" si="204">SUM(E66:E68)</f>
        <v>0</v>
      </c>
      <c r="F69" s="368">
        <f t="shared" ref="F69" si="205">SUM(F66:F68)</f>
        <v>0</v>
      </c>
      <c r="G69" s="368">
        <f t="shared" ref="G69" si="206">SUM(G66:G68)</f>
        <v>0</v>
      </c>
      <c r="H69" s="368">
        <f t="shared" si="204"/>
        <v>0</v>
      </c>
      <c r="I69" s="368">
        <f t="shared" ref="I69" si="207">SUM(I66:I68)</f>
        <v>0</v>
      </c>
      <c r="J69" s="368">
        <f t="shared" ref="J69" si="208">SUM(J66:J68)</f>
        <v>12255000</v>
      </c>
      <c r="K69" s="368">
        <f t="shared" si="204"/>
        <v>17521169</v>
      </c>
      <c r="L69" s="368">
        <f t="shared" ref="L69" si="209">SUM(L66:L68)</f>
        <v>17521169</v>
      </c>
      <c r="M69" s="368">
        <f t="shared" ref="M69" si="210">SUM(M66:M68)</f>
        <v>0</v>
      </c>
      <c r="N69" s="368">
        <f t="shared" si="204"/>
        <v>0</v>
      </c>
      <c r="O69" s="368">
        <f t="shared" ref="O69" si="211">SUM(O66:O68)</f>
        <v>0</v>
      </c>
      <c r="P69" s="368">
        <f t="shared" ref="P69" si="212">SUM(P66:P68)</f>
        <v>0</v>
      </c>
      <c r="Q69" s="368">
        <f t="shared" si="204"/>
        <v>0</v>
      </c>
      <c r="R69" s="368">
        <f t="shared" ref="R69" si="213">SUM(R66:R68)</f>
        <v>0</v>
      </c>
      <c r="S69" s="368">
        <f t="shared" ref="S69" si="214">SUM(S66:S68)</f>
        <v>2100000</v>
      </c>
      <c r="T69" s="368">
        <f t="shared" si="204"/>
        <v>2223173</v>
      </c>
      <c r="U69" s="368">
        <f t="shared" ref="U69" si="215">SUM(U66:U68)</f>
        <v>2227161</v>
      </c>
      <c r="V69" s="368">
        <f t="shared" ref="V69" si="216">SUM(V66:V68)</f>
        <v>0</v>
      </c>
      <c r="W69" s="368">
        <f t="shared" si="204"/>
        <v>0</v>
      </c>
      <c r="X69" s="368">
        <f t="shared" ref="X69" si="217">SUM(X66:X68)</f>
        <v>0</v>
      </c>
      <c r="Y69" s="368">
        <f t="shared" ref="Y69" si="218">SUM(Y66:Y68)</f>
        <v>0</v>
      </c>
      <c r="Z69" s="368">
        <f t="shared" si="204"/>
        <v>0</v>
      </c>
      <c r="AA69" s="368">
        <f t="shared" ref="AA69" si="219">SUM(AA66:AA68)</f>
        <v>0</v>
      </c>
      <c r="AB69" s="878" t="s">
        <v>504</v>
      </c>
      <c r="AC69" s="879"/>
      <c r="AD69" s="880"/>
      <c r="AE69" s="368">
        <f t="shared" ref="AE69" si="220">SUM(AE66:AE68)</f>
        <v>0</v>
      </c>
      <c r="AF69" s="368">
        <f t="shared" ref="AF69:AY69" si="221">SUM(AF66:AF68)</f>
        <v>17000</v>
      </c>
      <c r="AG69" s="368">
        <f t="shared" si="221"/>
        <v>17000</v>
      </c>
      <c r="AH69" s="368">
        <f t="shared" si="221"/>
        <v>0</v>
      </c>
      <c r="AI69" s="368">
        <f t="shared" si="221"/>
        <v>75000</v>
      </c>
      <c r="AJ69" s="368">
        <f t="shared" si="221"/>
        <v>75000</v>
      </c>
      <c r="AK69" s="368">
        <f t="shared" si="221"/>
        <v>0</v>
      </c>
      <c r="AL69" s="368">
        <f t="shared" si="221"/>
        <v>0</v>
      </c>
      <c r="AM69" s="368">
        <f t="shared" si="221"/>
        <v>0</v>
      </c>
      <c r="AN69" s="368">
        <f t="shared" si="221"/>
        <v>0</v>
      </c>
      <c r="AO69" s="368">
        <f t="shared" si="221"/>
        <v>0</v>
      </c>
      <c r="AP69" s="368">
        <f t="shared" si="221"/>
        <v>0</v>
      </c>
      <c r="AQ69" s="368">
        <f t="shared" si="221"/>
        <v>0</v>
      </c>
      <c r="AR69" s="368">
        <f t="shared" si="221"/>
        <v>0</v>
      </c>
      <c r="AS69" s="368">
        <f t="shared" si="221"/>
        <v>0</v>
      </c>
      <c r="AT69" s="368">
        <f t="shared" si="221"/>
        <v>0</v>
      </c>
      <c r="AU69" s="368">
        <f t="shared" si="221"/>
        <v>0</v>
      </c>
      <c r="AV69" s="368">
        <f t="shared" si="221"/>
        <v>0</v>
      </c>
      <c r="AW69" s="368">
        <f t="shared" si="221"/>
        <v>0</v>
      </c>
      <c r="AX69" s="368">
        <f t="shared" si="221"/>
        <v>5918207</v>
      </c>
      <c r="AY69" s="368">
        <f t="shared" si="221"/>
        <v>5918207</v>
      </c>
      <c r="AZ69" s="368">
        <f t="shared" si="200"/>
        <v>14355000</v>
      </c>
      <c r="BA69" s="368">
        <f t="shared" si="201"/>
        <v>25754549</v>
      </c>
      <c r="BB69" s="368">
        <f t="shared" si="202"/>
        <v>25758537</v>
      </c>
    </row>
    <row r="70" spans="1:54" ht="15.75" x14ac:dyDescent="0.25">
      <c r="A70" s="322"/>
      <c r="B70" s="325"/>
      <c r="C70" s="339" t="s">
        <v>453</v>
      </c>
      <c r="D70" s="369"/>
      <c r="E70" s="369"/>
      <c r="F70" s="369"/>
      <c r="G70" s="369"/>
      <c r="H70" s="369"/>
      <c r="I70" s="369"/>
      <c r="J70" s="369"/>
      <c r="K70" s="369"/>
      <c r="L70" s="369"/>
      <c r="M70" s="369"/>
      <c r="N70" s="369"/>
      <c r="O70" s="369"/>
      <c r="P70" s="369"/>
      <c r="Q70" s="369"/>
      <c r="R70" s="369"/>
      <c r="S70" s="369"/>
      <c r="T70" s="369"/>
      <c r="U70" s="369"/>
      <c r="V70" s="369"/>
      <c r="W70" s="369"/>
      <c r="X70" s="369"/>
      <c r="Y70" s="369"/>
      <c r="Z70" s="369"/>
      <c r="AA70" s="369"/>
      <c r="AB70" s="322"/>
      <c r="AC70" s="325"/>
      <c r="AD70" s="339" t="s">
        <v>453</v>
      </c>
      <c r="AE70" s="369"/>
      <c r="AF70" s="369"/>
      <c r="AG70" s="369"/>
      <c r="AH70" s="369"/>
      <c r="AI70" s="369"/>
      <c r="AJ70" s="369"/>
      <c r="AK70" s="369"/>
      <c r="AL70" s="369"/>
      <c r="AM70" s="369"/>
      <c r="AN70" s="369"/>
      <c r="AO70" s="369"/>
      <c r="AP70" s="369"/>
      <c r="AQ70" s="369"/>
      <c r="AR70" s="369"/>
      <c r="AS70" s="369"/>
      <c r="AT70" s="369"/>
      <c r="AU70" s="369"/>
      <c r="AV70" s="369"/>
      <c r="AW70" s="369"/>
      <c r="AX70" s="369"/>
      <c r="AY70" s="369"/>
      <c r="AZ70" s="369">
        <f t="shared" si="200"/>
        <v>0</v>
      </c>
      <c r="BA70" s="369">
        <f t="shared" si="201"/>
        <v>0</v>
      </c>
      <c r="BB70" s="369">
        <f t="shared" si="202"/>
        <v>0</v>
      </c>
    </row>
    <row r="71" spans="1:54" ht="15.75" x14ac:dyDescent="0.2">
      <c r="A71" s="323"/>
      <c r="B71" s="325" t="s">
        <v>363</v>
      </c>
      <c r="C71" s="328" t="s">
        <v>364</v>
      </c>
      <c r="D71" s="370"/>
      <c r="E71" s="370"/>
      <c r="F71" s="370"/>
      <c r="G71" s="370"/>
      <c r="H71" s="370"/>
      <c r="I71" s="370"/>
      <c r="J71" s="370"/>
      <c r="K71" s="370"/>
      <c r="L71" s="370"/>
      <c r="M71" s="370"/>
      <c r="N71" s="370"/>
      <c r="O71" s="370"/>
      <c r="P71" s="370"/>
      <c r="Q71" s="370"/>
      <c r="R71" s="370"/>
      <c r="S71" s="370">
        <v>2181000</v>
      </c>
      <c r="T71" s="370">
        <v>2398486</v>
      </c>
      <c r="U71" s="370">
        <v>2398486</v>
      </c>
      <c r="V71" s="370"/>
      <c r="W71" s="370"/>
      <c r="X71" s="370"/>
      <c r="Y71" s="370"/>
      <c r="Z71" s="370"/>
      <c r="AA71" s="370"/>
      <c r="AB71" s="323"/>
      <c r="AC71" s="325" t="s">
        <v>363</v>
      </c>
      <c r="AD71" s="328" t="s">
        <v>364</v>
      </c>
      <c r="AE71" s="370"/>
      <c r="AF71" s="370">
        <v>100000</v>
      </c>
      <c r="AG71" s="370">
        <v>100000</v>
      </c>
      <c r="AH71" s="370"/>
      <c r="AI71" s="370"/>
      <c r="AJ71" s="370"/>
      <c r="AK71" s="370"/>
      <c r="AL71" s="370"/>
      <c r="AM71" s="370"/>
      <c r="AN71" s="370"/>
      <c r="AO71" s="370"/>
      <c r="AP71" s="370"/>
      <c r="AQ71" s="370"/>
      <c r="AR71" s="370"/>
      <c r="AS71" s="370"/>
      <c r="AT71" s="370"/>
      <c r="AU71" s="370"/>
      <c r="AV71" s="370"/>
      <c r="AW71" s="370"/>
      <c r="AX71" s="370"/>
      <c r="AY71" s="370"/>
      <c r="AZ71" s="369">
        <f t="shared" si="200"/>
        <v>2181000</v>
      </c>
      <c r="BA71" s="369">
        <f t="shared" si="201"/>
        <v>2498486</v>
      </c>
      <c r="BB71" s="369">
        <f t="shared" si="202"/>
        <v>2498486</v>
      </c>
    </row>
    <row r="72" spans="1:54" ht="15.75" x14ac:dyDescent="0.2">
      <c r="A72" s="323"/>
      <c r="B72" s="325" t="s">
        <v>454</v>
      </c>
      <c r="C72" s="326" t="s">
        <v>455</v>
      </c>
      <c r="D72" s="370"/>
      <c r="E72" s="370"/>
      <c r="F72" s="370"/>
      <c r="G72" s="370"/>
      <c r="H72" s="370"/>
      <c r="I72" s="370"/>
      <c r="J72" s="370"/>
      <c r="K72" s="370"/>
      <c r="L72" s="370"/>
      <c r="M72" s="370"/>
      <c r="N72" s="370"/>
      <c r="O72" s="370"/>
      <c r="P72" s="370"/>
      <c r="Q72" s="370"/>
      <c r="R72" s="370"/>
      <c r="S72" s="370">
        <v>29118684</v>
      </c>
      <c r="T72" s="370">
        <v>35256435</v>
      </c>
      <c r="U72" s="370">
        <v>35256435</v>
      </c>
      <c r="V72" s="370"/>
      <c r="W72" s="370"/>
      <c r="X72" s="370"/>
      <c r="Y72" s="370"/>
      <c r="Z72" s="370"/>
      <c r="AA72" s="370"/>
      <c r="AB72" s="323"/>
      <c r="AC72" s="325" t="s">
        <v>454</v>
      </c>
      <c r="AD72" s="326" t="s">
        <v>455</v>
      </c>
      <c r="AE72" s="370"/>
      <c r="AF72" s="370"/>
      <c r="AG72" s="370"/>
      <c r="AH72" s="370"/>
      <c r="AI72" s="370"/>
      <c r="AJ72" s="370"/>
      <c r="AK72" s="370"/>
      <c r="AL72" s="370"/>
      <c r="AM72" s="370"/>
      <c r="AN72" s="370"/>
      <c r="AO72" s="370"/>
      <c r="AP72" s="370"/>
      <c r="AQ72" s="370"/>
      <c r="AR72" s="370"/>
      <c r="AS72" s="370"/>
      <c r="AT72" s="370"/>
      <c r="AU72" s="370"/>
      <c r="AV72" s="370"/>
      <c r="AW72" s="370"/>
      <c r="AX72" s="370"/>
      <c r="AY72" s="370"/>
      <c r="AZ72" s="369">
        <f t="shared" si="200"/>
        <v>29118684</v>
      </c>
      <c r="BA72" s="369">
        <f t="shared" si="201"/>
        <v>35256435</v>
      </c>
      <c r="BB72" s="369">
        <f t="shared" si="202"/>
        <v>35256435</v>
      </c>
    </row>
    <row r="73" spans="1:54" ht="15.75" x14ac:dyDescent="0.2">
      <c r="A73" s="323"/>
      <c r="B73" s="325" t="s">
        <v>367</v>
      </c>
      <c r="C73" s="326" t="s">
        <v>368</v>
      </c>
      <c r="D73" s="370"/>
      <c r="E73" s="370"/>
      <c r="F73" s="370"/>
      <c r="G73" s="370"/>
      <c r="H73" s="370"/>
      <c r="I73" s="370"/>
      <c r="J73" s="370"/>
      <c r="K73" s="370"/>
      <c r="L73" s="370"/>
      <c r="M73" s="370"/>
      <c r="N73" s="370"/>
      <c r="O73" s="370"/>
      <c r="P73" s="370"/>
      <c r="Q73" s="370"/>
      <c r="R73" s="370"/>
      <c r="S73" s="370"/>
      <c r="T73" s="370"/>
      <c r="U73" s="370"/>
      <c r="V73" s="370"/>
      <c r="W73" s="370"/>
      <c r="X73" s="370"/>
      <c r="Y73" s="370"/>
      <c r="Z73" s="370"/>
      <c r="AA73" s="370"/>
      <c r="AB73" s="323"/>
      <c r="AC73" s="325" t="s">
        <v>367</v>
      </c>
      <c r="AD73" s="326" t="s">
        <v>368</v>
      </c>
      <c r="AE73" s="370"/>
      <c r="AF73" s="370"/>
      <c r="AG73" s="370"/>
      <c r="AH73" s="370"/>
      <c r="AI73" s="370"/>
      <c r="AJ73" s="370"/>
      <c r="AK73" s="370"/>
      <c r="AL73" s="370"/>
      <c r="AM73" s="370"/>
      <c r="AN73" s="370"/>
      <c r="AO73" s="370"/>
      <c r="AP73" s="370"/>
      <c r="AQ73" s="370"/>
      <c r="AR73" s="370"/>
      <c r="AS73" s="370"/>
      <c r="AT73" s="370"/>
      <c r="AU73" s="370"/>
      <c r="AV73" s="370"/>
      <c r="AW73" s="370"/>
      <c r="AX73" s="370">
        <v>2212562</v>
      </c>
      <c r="AY73" s="370">
        <v>2212562</v>
      </c>
      <c r="AZ73" s="369">
        <f t="shared" si="200"/>
        <v>0</v>
      </c>
      <c r="BA73" s="369">
        <f t="shared" si="201"/>
        <v>2212562</v>
      </c>
      <c r="BB73" s="369">
        <f t="shared" si="202"/>
        <v>2212562</v>
      </c>
    </row>
    <row r="74" spans="1:54" ht="15.75" x14ac:dyDescent="0.2">
      <c r="A74" s="323"/>
      <c r="B74" s="341" t="s">
        <v>456</v>
      </c>
      <c r="C74" s="327" t="s">
        <v>457</v>
      </c>
      <c r="D74" s="370"/>
      <c r="E74" s="370"/>
      <c r="F74" s="370"/>
      <c r="G74" s="370"/>
      <c r="H74" s="370"/>
      <c r="I74" s="370"/>
      <c r="J74" s="370"/>
      <c r="K74" s="370"/>
      <c r="L74" s="370"/>
      <c r="M74" s="370"/>
      <c r="N74" s="370"/>
      <c r="O74" s="370"/>
      <c r="P74" s="370"/>
      <c r="Q74" s="370"/>
      <c r="R74" s="370"/>
      <c r="S74" s="370"/>
      <c r="T74" s="370"/>
      <c r="U74" s="370"/>
      <c r="V74" s="370"/>
      <c r="W74" s="370"/>
      <c r="X74" s="370"/>
      <c r="Y74" s="370"/>
      <c r="Z74" s="370"/>
      <c r="AA74" s="370"/>
      <c r="AB74" s="323"/>
      <c r="AC74" s="341" t="s">
        <v>456</v>
      </c>
      <c r="AD74" s="327" t="s">
        <v>457</v>
      </c>
      <c r="AE74" s="370"/>
      <c r="AF74" s="370"/>
      <c r="AG74" s="370"/>
      <c r="AH74" s="370"/>
      <c r="AI74" s="370"/>
      <c r="AJ74" s="370"/>
      <c r="AK74" s="370"/>
      <c r="AL74" s="370"/>
      <c r="AM74" s="370"/>
      <c r="AN74" s="370"/>
      <c r="AO74" s="370"/>
      <c r="AP74" s="370"/>
      <c r="AQ74" s="370"/>
      <c r="AR74" s="370"/>
      <c r="AS74" s="370"/>
      <c r="AT74" s="370"/>
      <c r="AU74" s="370"/>
      <c r="AV74" s="370"/>
      <c r="AW74" s="370"/>
      <c r="AX74" s="370"/>
      <c r="AY74" s="370"/>
      <c r="AZ74" s="369">
        <f t="shared" si="200"/>
        <v>0</v>
      </c>
      <c r="BA74" s="369">
        <f t="shared" si="201"/>
        <v>0</v>
      </c>
      <c r="BB74" s="369">
        <f t="shared" si="202"/>
        <v>0</v>
      </c>
    </row>
    <row r="75" spans="1:54" ht="15.75" x14ac:dyDescent="0.2">
      <c r="A75" s="323"/>
      <c r="B75" s="325" t="s">
        <v>415</v>
      </c>
      <c r="C75" s="326" t="s">
        <v>416</v>
      </c>
      <c r="D75" s="370"/>
      <c r="E75" s="370"/>
      <c r="F75" s="370"/>
      <c r="G75" s="370"/>
      <c r="H75" s="370"/>
      <c r="I75" s="370"/>
      <c r="J75" s="370"/>
      <c r="K75" s="370"/>
      <c r="L75" s="370"/>
      <c r="M75" s="370"/>
      <c r="N75" s="370"/>
      <c r="O75" s="370"/>
      <c r="P75" s="370"/>
      <c r="Q75" s="370"/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323"/>
      <c r="AC75" s="325" t="s">
        <v>415</v>
      </c>
      <c r="AD75" s="326" t="s">
        <v>416</v>
      </c>
      <c r="AE75" s="370"/>
      <c r="AF75" s="370"/>
      <c r="AG75" s="370"/>
      <c r="AH75" s="370"/>
      <c r="AI75" s="370"/>
      <c r="AJ75" s="370"/>
      <c r="AK75" s="370"/>
      <c r="AL75" s="370"/>
      <c r="AM75" s="370"/>
      <c r="AN75" s="370"/>
      <c r="AO75" s="370"/>
      <c r="AP75" s="370"/>
      <c r="AQ75" s="370"/>
      <c r="AR75" s="370"/>
      <c r="AS75" s="370"/>
      <c r="AT75" s="370"/>
      <c r="AU75" s="370"/>
      <c r="AV75" s="370"/>
      <c r="AW75" s="370"/>
      <c r="AX75" s="370"/>
      <c r="AY75" s="370"/>
      <c r="AZ75" s="369">
        <f t="shared" si="200"/>
        <v>0</v>
      </c>
      <c r="BA75" s="369">
        <f t="shared" si="201"/>
        <v>0</v>
      </c>
      <c r="BB75" s="369">
        <f t="shared" si="202"/>
        <v>0</v>
      </c>
    </row>
    <row r="76" spans="1:54" ht="15.75" x14ac:dyDescent="0.2">
      <c r="A76" s="329"/>
      <c r="B76" s="325" t="s">
        <v>458</v>
      </c>
      <c r="C76" s="326" t="s">
        <v>459</v>
      </c>
      <c r="D76" s="370"/>
      <c r="E76" s="370"/>
      <c r="F76" s="370"/>
      <c r="G76" s="370"/>
      <c r="H76" s="370"/>
      <c r="I76" s="370"/>
      <c r="J76" s="370"/>
      <c r="K76" s="370"/>
      <c r="L76" s="370"/>
      <c r="M76" s="370"/>
      <c r="N76" s="370"/>
      <c r="O76" s="370"/>
      <c r="P76" s="370"/>
      <c r="Q76" s="370"/>
      <c r="R76" s="370"/>
      <c r="S76" s="370"/>
      <c r="T76" s="370"/>
      <c r="U76" s="370"/>
      <c r="V76" s="370"/>
      <c r="W76" s="370"/>
      <c r="X76" s="370"/>
      <c r="Y76" s="370"/>
      <c r="Z76" s="370"/>
      <c r="AA76" s="370"/>
      <c r="AB76" s="329"/>
      <c r="AC76" s="325" t="s">
        <v>458</v>
      </c>
      <c r="AD76" s="326" t="s">
        <v>459</v>
      </c>
      <c r="AE76" s="370"/>
      <c r="AF76" s="370"/>
      <c r="AG76" s="370"/>
      <c r="AH76" s="370"/>
      <c r="AI76" s="370"/>
      <c r="AJ76" s="370"/>
      <c r="AK76" s="370"/>
      <c r="AL76" s="370"/>
      <c r="AM76" s="370"/>
      <c r="AN76" s="370"/>
      <c r="AO76" s="370"/>
      <c r="AP76" s="370"/>
      <c r="AQ76" s="370"/>
      <c r="AR76" s="370"/>
      <c r="AS76" s="370"/>
      <c r="AT76" s="370"/>
      <c r="AU76" s="370"/>
      <c r="AV76" s="370"/>
      <c r="AW76" s="370"/>
      <c r="AX76" s="370"/>
      <c r="AY76" s="370"/>
      <c r="AZ76" s="369">
        <f t="shared" si="200"/>
        <v>0</v>
      </c>
      <c r="BA76" s="369">
        <f t="shared" si="201"/>
        <v>0</v>
      </c>
      <c r="BB76" s="369">
        <f t="shared" si="202"/>
        <v>0</v>
      </c>
    </row>
    <row r="77" spans="1:54" ht="15.75" x14ac:dyDescent="0.2">
      <c r="A77" s="323"/>
      <c r="B77" s="325" t="s">
        <v>421</v>
      </c>
      <c r="C77" s="326" t="s">
        <v>460</v>
      </c>
      <c r="D77" s="370"/>
      <c r="E77" s="370"/>
      <c r="F77" s="370"/>
      <c r="G77" s="370"/>
      <c r="H77" s="370"/>
      <c r="I77" s="370"/>
      <c r="J77" s="370"/>
      <c r="K77" s="370"/>
      <c r="L77" s="370"/>
      <c r="M77" s="370"/>
      <c r="N77" s="370"/>
      <c r="O77" s="370"/>
      <c r="P77" s="370"/>
      <c r="Q77" s="370"/>
      <c r="R77" s="370"/>
      <c r="S77" s="370"/>
      <c r="T77" s="370"/>
      <c r="U77" s="370"/>
      <c r="V77" s="370"/>
      <c r="W77" s="370"/>
      <c r="X77" s="370"/>
      <c r="Y77" s="370"/>
      <c r="Z77" s="370"/>
      <c r="AA77" s="370"/>
      <c r="AB77" s="323"/>
      <c r="AC77" s="325" t="s">
        <v>421</v>
      </c>
      <c r="AD77" s="326" t="s">
        <v>460</v>
      </c>
      <c r="AE77" s="370"/>
      <c r="AF77" s="370"/>
      <c r="AG77" s="370"/>
      <c r="AH77" s="370"/>
      <c r="AI77" s="370"/>
      <c r="AJ77" s="370"/>
      <c r="AK77" s="370"/>
      <c r="AL77" s="370"/>
      <c r="AM77" s="370"/>
      <c r="AN77" s="370"/>
      <c r="AO77" s="370"/>
      <c r="AP77" s="370"/>
      <c r="AQ77" s="370"/>
      <c r="AR77" s="370"/>
      <c r="AS77" s="370"/>
      <c r="AT77" s="370"/>
      <c r="AU77" s="370"/>
      <c r="AV77" s="370"/>
      <c r="AW77" s="370"/>
      <c r="AX77" s="370"/>
      <c r="AY77" s="370"/>
      <c r="AZ77" s="369">
        <f t="shared" si="200"/>
        <v>0</v>
      </c>
      <c r="BA77" s="369">
        <f t="shared" si="201"/>
        <v>0</v>
      </c>
      <c r="BB77" s="369">
        <f t="shared" si="202"/>
        <v>0</v>
      </c>
    </row>
    <row r="78" spans="1:54" ht="15.75" x14ac:dyDescent="0.2">
      <c r="A78" s="323"/>
      <c r="B78" s="325" t="s">
        <v>426</v>
      </c>
      <c r="C78" s="326" t="s">
        <v>461</v>
      </c>
      <c r="D78" s="370"/>
      <c r="E78" s="370"/>
      <c r="F78" s="370"/>
      <c r="G78" s="370"/>
      <c r="H78" s="370"/>
      <c r="I78" s="370"/>
      <c r="J78" s="370"/>
      <c r="K78" s="370"/>
      <c r="L78" s="370"/>
      <c r="M78" s="370"/>
      <c r="N78" s="370"/>
      <c r="O78" s="370"/>
      <c r="P78" s="370"/>
      <c r="Q78" s="370"/>
      <c r="R78" s="370"/>
      <c r="S78" s="370"/>
      <c r="T78" s="370">
        <v>10000</v>
      </c>
      <c r="U78" s="370">
        <v>10000</v>
      </c>
      <c r="V78" s="370"/>
      <c r="W78" s="370"/>
      <c r="X78" s="370"/>
      <c r="Y78" s="370"/>
      <c r="Z78" s="370"/>
      <c r="AA78" s="370"/>
      <c r="AB78" s="323"/>
      <c r="AC78" s="325" t="s">
        <v>426</v>
      </c>
      <c r="AD78" s="326" t="s">
        <v>461</v>
      </c>
      <c r="AE78" s="370"/>
      <c r="AF78" s="370"/>
      <c r="AG78" s="370"/>
      <c r="AH78" s="370"/>
      <c r="AI78" s="370"/>
      <c r="AJ78" s="370"/>
      <c r="AK78" s="370"/>
      <c r="AL78" s="370"/>
      <c r="AM78" s="370"/>
      <c r="AN78" s="370"/>
      <c r="AO78" s="370"/>
      <c r="AP78" s="370"/>
      <c r="AQ78" s="370"/>
      <c r="AR78" s="370"/>
      <c r="AS78" s="370"/>
      <c r="AT78" s="370"/>
      <c r="AU78" s="370"/>
      <c r="AV78" s="370"/>
      <c r="AW78" s="370"/>
      <c r="AX78" s="370"/>
      <c r="AY78" s="370"/>
      <c r="AZ78" s="369">
        <f t="shared" si="200"/>
        <v>0</v>
      </c>
      <c r="BA78" s="369">
        <f t="shared" si="201"/>
        <v>10000</v>
      </c>
      <c r="BB78" s="369">
        <f t="shared" si="202"/>
        <v>10000</v>
      </c>
    </row>
    <row r="79" spans="1:54" ht="15.75" x14ac:dyDescent="0.2">
      <c r="A79" s="323"/>
      <c r="B79" s="325" t="s">
        <v>428</v>
      </c>
      <c r="C79" s="326" t="s">
        <v>462</v>
      </c>
      <c r="D79" s="370"/>
      <c r="E79" s="370"/>
      <c r="F79" s="370"/>
      <c r="G79" s="370"/>
      <c r="H79" s="370"/>
      <c r="I79" s="370"/>
      <c r="J79" s="370"/>
      <c r="K79" s="370"/>
      <c r="L79" s="370"/>
      <c r="M79" s="370"/>
      <c r="N79" s="370"/>
      <c r="O79" s="370"/>
      <c r="P79" s="370"/>
      <c r="Q79" s="370"/>
      <c r="R79" s="370"/>
      <c r="S79" s="370"/>
      <c r="T79" s="370">
        <v>251475</v>
      </c>
      <c r="U79" s="370">
        <v>251475</v>
      </c>
      <c r="V79" s="370"/>
      <c r="W79" s="370"/>
      <c r="X79" s="370"/>
      <c r="Y79" s="370"/>
      <c r="Z79" s="370"/>
      <c r="AA79" s="370"/>
      <c r="AB79" s="323"/>
      <c r="AC79" s="325" t="s">
        <v>428</v>
      </c>
      <c r="AD79" s="326" t="s">
        <v>462</v>
      </c>
      <c r="AE79" s="370"/>
      <c r="AF79" s="370"/>
      <c r="AG79" s="370"/>
      <c r="AH79" s="370"/>
      <c r="AI79" s="370"/>
      <c r="AJ79" s="370"/>
      <c r="AK79" s="370"/>
      <c r="AL79" s="370"/>
      <c r="AM79" s="370"/>
      <c r="AN79" s="370"/>
      <c r="AO79" s="370"/>
      <c r="AP79" s="370"/>
      <c r="AQ79" s="370"/>
      <c r="AR79" s="370"/>
      <c r="AS79" s="370"/>
      <c r="AT79" s="370"/>
      <c r="AU79" s="370"/>
      <c r="AV79" s="370"/>
      <c r="AW79" s="370"/>
      <c r="AX79" s="370"/>
      <c r="AY79" s="370"/>
      <c r="AZ79" s="369">
        <f t="shared" si="200"/>
        <v>0</v>
      </c>
      <c r="BA79" s="369">
        <f t="shared" si="201"/>
        <v>251475</v>
      </c>
      <c r="BB79" s="369">
        <f t="shared" si="202"/>
        <v>251475</v>
      </c>
    </row>
    <row r="80" spans="1:54" ht="15.75" x14ac:dyDescent="0.2">
      <c r="A80" s="323"/>
      <c r="B80" s="342" t="s">
        <v>429</v>
      </c>
      <c r="C80" s="326" t="s">
        <v>430</v>
      </c>
      <c r="D80" s="370"/>
      <c r="E80" s="370"/>
      <c r="F80" s="370"/>
      <c r="G80" s="370"/>
      <c r="H80" s="370"/>
      <c r="I80" s="370"/>
      <c r="J80" s="370"/>
      <c r="K80" s="370"/>
      <c r="L80" s="370"/>
      <c r="M80" s="370"/>
      <c r="N80" s="370"/>
      <c r="O80" s="370"/>
      <c r="P80" s="370"/>
      <c r="Q80" s="370"/>
      <c r="R80" s="370"/>
      <c r="S80" s="370">
        <v>13337243</v>
      </c>
      <c r="T80" s="370">
        <v>12463493</v>
      </c>
      <c r="U80" s="370">
        <v>12463493</v>
      </c>
      <c r="V80" s="370"/>
      <c r="W80" s="370"/>
      <c r="X80" s="370"/>
      <c r="Y80" s="370"/>
      <c r="Z80" s="370"/>
      <c r="AA80" s="370"/>
      <c r="AB80" s="323"/>
      <c r="AC80" s="342" t="s">
        <v>429</v>
      </c>
      <c r="AD80" s="326" t="s">
        <v>430</v>
      </c>
      <c r="AE80" s="370"/>
      <c r="AF80" s="370"/>
      <c r="AG80" s="370"/>
      <c r="AH80" s="370"/>
      <c r="AI80" s="370"/>
      <c r="AJ80" s="370"/>
      <c r="AK80" s="370"/>
      <c r="AL80" s="370"/>
      <c r="AM80" s="370"/>
      <c r="AN80" s="370"/>
      <c r="AO80" s="370"/>
      <c r="AP80" s="370"/>
      <c r="AQ80" s="370"/>
      <c r="AR80" s="370"/>
      <c r="AS80" s="370"/>
      <c r="AT80" s="370"/>
      <c r="AU80" s="370"/>
      <c r="AV80" s="370"/>
      <c r="AW80" s="370"/>
      <c r="AX80" s="370"/>
      <c r="AY80" s="370"/>
      <c r="AZ80" s="369">
        <f t="shared" si="200"/>
        <v>13337243</v>
      </c>
      <c r="BA80" s="369">
        <f t="shared" si="201"/>
        <v>12463493</v>
      </c>
      <c r="BB80" s="369">
        <f t="shared" si="202"/>
        <v>12463493</v>
      </c>
    </row>
    <row r="81" spans="1:54" ht="15.75" x14ac:dyDescent="0.2">
      <c r="A81" s="323"/>
      <c r="B81" s="342" t="s">
        <v>463</v>
      </c>
      <c r="C81" s="326" t="s">
        <v>464</v>
      </c>
      <c r="D81" s="370"/>
      <c r="E81" s="370"/>
      <c r="F81" s="370"/>
      <c r="G81" s="370"/>
      <c r="H81" s="370"/>
      <c r="I81" s="370"/>
      <c r="J81" s="370"/>
      <c r="K81" s="370"/>
      <c r="L81" s="370"/>
      <c r="M81" s="370"/>
      <c r="N81" s="370"/>
      <c r="O81" s="370"/>
      <c r="P81" s="370"/>
      <c r="Q81" s="370"/>
      <c r="R81" s="370"/>
      <c r="S81" s="370">
        <v>2844800</v>
      </c>
      <c r="T81" s="370">
        <v>1934109</v>
      </c>
      <c r="U81" s="370">
        <v>1934109</v>
      </c>
      <c r="V81" s="370"/>
      <c r="W81" s="370"/>
      <c r="X81" s="370"/>
      <c r="Y81" s="370"/>
      <c r="Z81" s="370"/>
      <c r="AA81" s="370"/>
      <c r="AB81" s="323"/>
      <c r="AC81" s="342" t="s">
        <v>463</v>
      </c>
      <c r="AD81" s="326" t="s">
        <v>464</v>
      </c>
      <c r="AE81" s="370"/>
      <c r="AF81" s="370"/>
      <c r="AG81" s="370"/>
      <c r="AH81" s="370"/>
      <c r="AI81" s="370"/>
      <c r="AJ81" s="370"/>
      <c r="AK81" s="370"/>
      <c r="AL81" s="370"/>
      <c r="AM81" s="370"/>
      <c r="AN81" s="370"/>
      <c r="AO81" s="370"/>
      <c r="AP81" s="370"/>
      <c r="AQ81" s="370"/>
      <c r="AR81" s="370"/>
      <c r="AS81" s="370"/>
      <c r="AT81" s="370"/>
      <c r="AU81" s="370"/>
      <c r="AV81" s="370"/>
      <c r="AW81" s="370"/>
      <c r="AX81" s="370"/>
      <c r="AY81" s="370"/>
      <c r="AZ81" s="369">
        <f t="shared" si="200"/>
        <v>2844800</v>
      </c>
      <c r="BA81" s="369">
        <f t="shared" si="201"/>
        <v>1934109</v>
      </c>
      <c r="BB81" s="369">
        <f t="shared" si="202"/>
        <v>1934109</v>
      </c>
    </row>
    <row r="82" spans="1:54" ht="15.75" x14ac:dyDescent="0.2">
      <c r="A82" s="323"/>
      <c r="B82" s="325" t="s">
        <v>517</v>
      </c>
      <c r="C82" s="326" t="s">
        <v>434</v>
      </c>
      <c r="D82" s="370"/>
      <c r="E82" s="370"/>
      <c r="F82" s="370"/>
      <c r="G82" s="370"/>
      <c r="H82" s="370"/>
      <c r="I82" s="370"/>
      <c r="J82" s="370"/>
      <c r="K82" s="370"/>
      <c r="L82" s="370"/>
      <c r="M82" s="370"/>
      <c r="N82" s="370"/>
      <c r="O82" s="370"/>
      <c r="P82" s="370"/>
      <c r="Q82" s="370"/>
      <c r="R82" s="370"/>
      <c r="S82" s="370">
        <v>1200000</v>
      </c>
      <c r="T82" s="370">
        <v>1286941</v>
      </c>
      <c r="U82" s="370">
        <v>1442600</v>
      </c>
      <c r="V82" s="370"/>
      <c r="W82" s="370"/>
      <c r="X82" s="370"/>
      <c r="Y82" s="370"/>
      <c r="Z82" s="370"/>
      <c r="AA82" s="370"/>
      <c r="AB82" s="323"/>
      <c r="AC82" s="325" t="s">
        <v>517</v>
      </c>
      <c r="AD82" s="326" t="s">
        <v>434</v>
      </c>
      <c r="AE82" s="370"/>
      <c r="AF82" s="370"/>
      <c r="AG82" s="370"/>
      <c r="AH82" s="370"/>
      <c r="AI82" s="370"/>
      <c r="AJ82" s="370"/>
      <c r="AK82" s="370"/>
      <c r="AL82" s="370"/>
      <c r="AM82" s="370"/>
      <c r="AN82" s="370"/>
      <c r="AO82" s="370"/>
      <c r="AP82" s="370"/>
      <c r="AQ82" s="370"/>
      <c r="AR82" s="370"/>
      <c r="AS82" s="370"/>
      <c r="AT82" s="370"/>
      <c r="AU82" s="370"/>
      <c r="AV82" s="370"/>
      <c r="AW82" s="370"/>
      <c r="AX82" s="370"/>
      <c r="AY82" s="370"/>
      <c r="AZ82" s="369">
        <f t="shared" si="200"/>
        <v>1200000</v>
      </c>
      <c r="BA82" s="369">
        <f t="shared" si="201"/>
        <v>1286941</v>
      </c>
      <c r="BB82" s="369">
        <f t="shared" si="202"/>
        <v>1442600</v>
      </c>
    </row>
    <row r="83" spans="1:54" ht="15.75" x14ac:dyDescent="0.2">
      <c r="A83" s="323"/>
      <c r="B83" s="325" t="s">
        <v>435</v>
      </c>
      <c r="C83" s="326" t="s">
        <v>436</v>
      </c>
      <c r="D83" s="370"/>
      <c r="E83" s="370"/>
      <c r="F83" s="370"/>
      <c r="G83" s="370"/>
      <c r="H83" s="370"/>
      <c r="I83" s="370"/>
      <c r="J83" s="370"/>
      <c r="K83" s="370"/>
      <c r="L83" s="370"/>
      <c r="M83" s="370"/>
      <c r="N83" s="370"/>
      <c r="O83" s="370"/>
      <c r="P83" s="370"/>
      <c r="Q83" s="370"/>
      <c r="R83" s="370"/>
      <c r="S83" s="370"/>
      <c r="T83" s="370">
        <v>629664</v>
      </c>
      <c r="U83" s="370">
        <v>629664</v>
      </c>
      <c r="V83" s="370"/>
      <c r="W83" s="370"/>
      <c r="X83" s="370"/>
      <c r="Y83" s="370"/>
      <c r="Z83" s="370"/>
      <c r="AA83" s="370"/>
      <c r="AB83" s="323"/>
      <c r="AC83" s="325" t="s">
        <v>435</v>
      </c>
      <c r="AD83" s="326" t="s">
        <v>436</v>
      </c>
      <c r="AE83" s="370"/>
      <c r="AF83" s="370"/>
      <c r="AG83" s="370"/>
      <c r="AH83" s="370"/>
      <c r="AI83" s="370"/>
      <c r="AJ83" s="370"/>
      <c r="AK83" s="370"/>
      <c r="AL83" s="370"/>
      <c r="AM83" s="370"/>
      <c r="AN83" s="370"/>
      <c r="AO83" s="370"/>
      <c r="AP83" s="370"/>
      <c r="AQ83" s="370"/>
      <c r="AR83" s="370"/>
      <c r="AS83" s="370"/>
      <c r="AT83" s="370"/>
      <c r="AU83" s="370"/>
      <c r="AV83" s="370"/>
      <c r="AW83" s="370"/>
      <c r="AX83" s="370"/>
      <c r="AY83" s="370"/>
      <c r="AZ83" s="369">
        <f t="shared" si="200"/>
        <v>0</v>
      </c>
      <c r="BA83" s="369">
        <f t="shared" si="201"/>
        <v>629664</v>
      </c>
      <c r="BB83" s="369">
        <f t="shared" si="202"/>
        <v>629664</v>
      </c>
    </row>
    <row r="84" spans="1:54" ht="15.75" x14ac:dyDescent="0.2">
      <c r="A84" s="323"/>
      <c r="B84" s="325" t="s">
        <v>465</v>
      </c>
      <c r="C84" s="326" t="s">
        <v>466</v>
      </c>
      <c r="D84" s="370"/>
      <c r="E84" s="370"/>
      <c r="F84" s="370"/>
      <c r="G84" s="370"/>
      <c r="H84" s="370"/>
      <c r="I84" s="370"/>
      <c r="J84" s="370"/>
      <c r="K84" s="370"/>
      <c r="L84" s="370"/>
      <c r="M84" s="370"/>
      <c r="N84" s="370"/>
      <c r="O84" s="370"/>
      <c r="P84" s="370"/>
      <c r="Q84" s="370"/>
      <c r="R84" s="370"/>
      <c r="S84" s="370"/>
      <c r="T84" s="370">
        <v>4418</v>
      </c>
      <c r="U84" s="370">
        <v>4418</v>
      </c>
      <c r="V84" s="370"/>
      <c r="W84" s="370"/>
      <c r="X84" s="370"/>
      <c r="Y84" s="370"/>
      <c r="Z84" s="370"/>
      <c r="AA84" s="370"/>
      <c r="AB84" s="323"/>
      <c r="AC84" s="325" t="s">
        <v>465</v>
      </c>
      <c r="AD84" s="326" t="s">
        <v>466</v>
      </c>
      <c r="AE84" s="370"/>
      <c r="AF84" s="370"/>
      <c r="AG84" s="370"/>
      <c r="AH84" s="370"/>
      <c r="AI84" s="370"/>
      <c r="AJ84" s="370"/>
      <c r="AK84" s="370"/>
      <c r="AL84" s="370"/>
      <c r="AM84" s="370"/>
      <c r="AN84" s="370"/>
      <c r="AO84" s="370"/>
      <c r="AP84" s="370"/>
      <c r="AQ84" s="370"/>
      <c r="AR84" s="370"/>
      <c r="AS84" s="370"/>
      <c r="AT84" s="370"/>
      <c r="AU84" s="370"/>
      <c r="AV84" s="370"/>
      <c r="AW84" s="370"/>
      <c r="AX84" s="370"/>
      <c r="AY84" s="370"/>
      <c r="AZ84" s="369">
        <f t="shared" si="200"/>
        <v>0</v>
      </c>
      <c r="BA84" s="369">
        <f t="shared" si="201"/>
        <v>4418</v>
      </c>
      <c r="BB84" s="369">
        <f t="shared" si="202"/>
        <v>4418</v>
      </c>
    </row>
    <row r="85" spans="1:54" ht="15.75" x14ac:dyDescent="0.2">
      <c r="A85" s="895" t="s">
        <v>505</v>
      </c>
      <c r="B85" s="896"/>
      <c r="C85" s="897"/>
      <c r="D85" s="368">
        <f t="shared" ref="D85" si="222">SUM(D71:D84)</f>
        <v>0</v>
      </c>
      <c r="E85" s="368">
        <f t="shared" ref="E85:AL85" si="223">SUM(E71:E84)</f>
        <v>0</v>
      </c>
      <c r="F85" s="368">
        <f t="shared" ref="F85" si="224">SUM(F71:F84)</f>
        <v>0</v>
      </c>
      <c r="G85" s="368">
        <f t="shared" ref="G85" si="225">SUM(G71:G84)</f>
        <v>0</v>
      </c>
      <c r="H85" s="368">
        <f t="shared" si="223"/>
        <v>0</v>
      </c>
      <c r="I85" s="368">
        <f t="shared" ref="I85" si="226">SUM(I71:I84)</f>
        <v>0</v>
      </c>
      <c r="J85" s="368">
        <f t="shared" ref="J85" si="227">SUM(J71:J84)</f>
        <v>0</v>
      </c>
      <c r="K85" s="368">
        <f t="shared" si="223"/>
        <v>0</v>
      </c>
      <c r="L85" s="368">
        <f t="shared" ref="L85" si="228">SUM(L71:L84)</f>
        <v>0</v>
      </c>
      <c r="M85" s="368">
        <f t="shared" ref="M85" si="229">SUM(M71:M84)</f>
        <v>0</v>
      </c>
      <c r="N85" s="368">
        <f t="shared" si="223"/>
        <v>0</v>
      </c>
      <c r="O85" s="368">
        <f t="shared" ref="O85" si="230">SUM(O71:O84)</f>
        <v>0</v>
      </c>
      <c r="P85" s="368">
        <f t="shared" ref="P85" si="231">SUM(P71:P84)</f>
        <v>0</v>
      </c>
      <c r="Q85" s="368">
        <f t="shared" si="223"/>
        <v>0</v>
      </c>
      <c r="R85" s="368">
        <f t="shared" ref="R85" si="232">SUM(R71:R84)</f>
        <v>0</v>
      </c>
      <c r="S85" s="368">
        <f>SUM(S71:S84)</f>
        <v>48681727</v>
      </c>
      <c r="T85" s="368">
        <f>SUM(T71:T84)</f>
        <v>54235021</v>
      </c>
      <c r="U85" s="368">
        <f t="shared" ref="U85" si="233">SUM(U71:U84)</f>
        <v>54390680</v>
      </c>
      <c r="V85" s="368">
        <f t="shared" ref="V85" si="234">SUM(V71:V84)</f>
        <v>0</v>
      </c>
      <c r="W85" s="368">
        <f t="shared" si="223"/>
        <v>0</v>
      </c>
      <c r="X85" s="368">
        <f t="shared" ref="X85" si="235">SUM(X71:X84)</f>
        <v>0</v>
      </c>
      <c r="Y85" s="368">
        <f t="shared" ref="Y85" si="236">SUM(Y71:Y84)</f>
        <v>0</v>
      </c>
      <c r="Z85" s="368">
        <f t="shared" si="223"/>
        <v>0</v>
      </c>
      <c r="AA85" s="368">
        <f t="shared" ref="AA85" si="237">SUM(AA71:AA84)</f>
        <v>0</v>
      </c>
      <c r="AB85" s="895" t="s">
        <v>505</v>
      </c>
      <c r="AC85" s="896"/>
      <c r="AD85" s="897"/>
      <c r="AE85" s="368">
        <f t="shared" ref="AE85" si="238">SUM(AE71:AE84)</f>
        <v>0</v>
      </c>
      <c r="AF85" s="368">
        <f t="shared" si="223"/>
        <v>100000</v>
      </c>
      <c r="AG85" s="368">
        <f t="shared" ref="AG85" si="239">SUM(AG71:AG84)</f>
        <v>100000</v>
      </c>
      <c r="AH85" s="368">
        <f t="shared" ref="AH85" si="240">SUM(AH71:AH84)</f>
        <v>0</v>
      </c>
      <c r="AI85" s="368">
        <f t="shared" si="223"/>
        <v>0</v>
      </c>
      <c r="AJ85" s="368">
        <f t="shared" ref="AJ85" si="241">SUM(AJ71:AJ84)</f>
        <v>0</v>
      </c>
      <c r="AK85" s="368">
        <f t="shared" ref="AK85" si="242">SUM(AK71:AK84)</f>
        <v>0</v>
      </c>
      <c r="AL85" s="368">
        <f t="shared" si="223"/>
        <v>0</v>
      </c>
      <c r="AM85" s="368">
        <f t="shared" ref="AM85" si="243">SUM(AM71:AM84)</f>
        <v>0</v>
      </c>
      <c r="AN85" s="368">
        <f t="shared" ref="AN85" si="244">SUM(AN71:AN84)</f>
        <v>0</v>
      </c>
      <c r="AO85" s="368">
        <f>SUM(AO83:AO84)</f>
        <v>0</v>
      </c>
      <c r="AP85" s="368">
        <f t="shared" ref="AP85" si="245">SUM(AP71:AP84)</f>
        <v>0</v>
      </c>
      <c r="AQ85" s="368">
        <f t="shared" ref="AQ85" si="246">SUM(AQ71:AQ84)</f>
        <v>0</v>
      </c>
      <c r="AR85" s="368">
        <f>SUM(AR83:AR84)</f>
        <v>0</v>
      </c>
      <c r="AS85" s="368">
        <f t="shared" ref="AS85" si="247">SUM(AS71:AS84)</f>
        <v>0</v>
      </c>
      <c r="AT85" s="368">
        <f t="shared" ref="AT85" si="248">SUM(AT71:AT84)</f>
        <v>0</v>
      </c>
      <c r="AU85" s="368">
        <f>SUM(AU83:AU84)</f>
        <v>0</v>
      </c>
      <c r="AV85" s="368">
        <f t="shared" ref="AV85" si="249">SUM(AV71:AV84)</f>
        <v>0</v>
      </c>
      <c r="AW85" s="368">
        <f t="shared" ref="AW85" si="250">SUM(AW71:AW84)</f>
        <v>0</v>
      </c>
      <c r="AX85" s="368">
        <f>SUM(AX71:AX84)</f>
        <v>2212562</v>
      </c>
      <c r="AY85" s="368">
        <f t="shared" ref="AY85" si="251">SUM(AY71:AY84)</f>
        <v>2212562</v>
      </c>
      <c r="AZ85" s="368">
        <f t="shared" si="200"/>
        <v>48681727</v>
      </c>
      <c r="BA85" s="368">
        <f t="shared" si="201"/>
        <v>56547583</v>
      </c>
      <c r="BB85" s="368">
        <f t="shared" si="202"/>
        <v>56703242</v>
      </c>
    </row>
    <row r="86" spans="1:54" ht="15.75" x14ac:dyDescent="0.2">
      <c r="A86" s="343"/>
      <c r="B86" s="337" t="s">
        <v>367</v>
      </c>
      <c r="C86" s="338" t="s">
        <v>452</v>
      </c>
      <c r="D86" s="367"/>
      <c r="E86" s="367"/>
      <c r="F86" s="367"/>
      <c r="G86" s="367"/>
      <c r="H86" s="367"/>
      <c r="I86" s="367"/>
      <c r="J86" s="367"/>
      <c r="K86" s="367"/>
      <c r="L86" s="367"/>
      <c r="M86" s="367"/>
      <c r="N86" s="367"/>
      <c r="O86" s="367"/>
      <c r="P86" s="367"/>
      <c r="Q86" s="367"/>
      <c r="R86" s="367"/>
      <c r="S86" s="367"/>
      <c r="T86" s="367"/>
      <c r="U86" s="367"/>
      <c r="V86" s="367"/>
      <c r="W86" s="367"/>
      <c r="X86" s="367"/>
      <c r="Y86" s="367"/>
      <c r="Z86" s="367"/>
      <c r="AA86" s="367"/>
      <c r="AB86" s="343"/>
      <c r="AC86" s="337" t="s">
        <v>367</v>
      </c>
      <c r="AD86" s="338" t="s">
        <v>452</v>
      </c>
      <c r="AE86" s="367"/>
      <c r="AF86" s="367"/>
      <c r="AG86" s="367"/>
      <c r="AH86" s="367"/>
      <c r="AI86" s="367"/>
      <c r="AJ86" s="367"/>
      <c r="AK86" s="367"/>
      <c r="AL86" s="367"/>
      <c r="AM86" s="367"/>
      <c r="AN86" s="367"/>
      <c r="AO86" s="367"/>
      <c r="AP86" s="367"/>
      <c r="AQ86" s="367"/>
      <c r="AR86" s="367"/>
      <c r="AS86" s="367"/>
      <c r="AT86" s="367"/>
      <c r="AU86" s="367"/>
      <c r="AV86" s="367"/>
      <c r="AW86" s="367"/>
      <c r="AX86" s="367">
        <v>2496860</v>
      </c>
      <c r="AY86" s="367">
        <v>2496860</v>
      </c>
      <c r="AZ86" s="369">
        <f t="shared" si="200"/>
        <v>0</v>
      </c>
      <c r="BA86" s="369">
        <f t="shared" si="201"/>
        <v>2496860</v>
      </c>
      <c r="BB86" s="369">
        <f t="shared" si="202"/>
        <v>2496860</v>
      </c>
    </row>
    <row r="87" spans="1:54" ht="15.75" x14ac:dyDescent="0.2">
      <c r="A87" s="343"/>
      <c r="B87" s="337" t="s">
        <v>363</v>
      </c>
      <c r="C87" s="338" t="s">
        <v>364</v>
      </c>
      <c r="D87" s="367"/>
      <c r="E87" s="367"/>
      <c r="F87" s="367"/>
      <c r="G87" s="367"/>
      <c r="H87" s="367"/>
      <c r="I87" s="367"/>
      <c r="J87" s="367"/>
      <c r="K87" s="367"/>
      <c r="L87" s="367"/>
      <c r="M87" s="367">
        <v>19963948</v>
      </c>
      <c r="N87" s="367">
        <v>25195924</v>
      </c>
      <c r="O87" s="367">
        <v>19963948</v>
      </c>
      <c r="P87" s="367"/>
      <c r="Q87" s="367"/>
      <c r="R87" s="367"/>
      <c r="S87" s="367">
        <v>300000</v>
      </c>
      <c r="T87" s="367">
        <v>216907</v>
      </c>
      <c r="U87" s="367">
        <v>75000</v>
      </c>
      <c r="V87" s="367"/>
      <c r="W87" s="367"/>
      <c r="X87" s="367"/>
      <c r="Y87" s="367"/>
      <c r="Z87" s="367"/>
      <c r="AA87" s="367"/>
      <c r="AB87" s="343"/>
      <c r="AC87" s="337" t="s">
        <v>363</v>
      </c>
      <c r="AD87" s="338" t="s">
        <v>364</v>
      </c>
      <c r="AE87" s="367"/>
      <c r="AF87" s="367"/>
      <c r="AG87" s="367"/>
      <c r="AH87" s="367"/>
      <c r="AI87" s="367"/>
      <c r="AJ87" s="367"/>
      <c r="AK87" s="367"/>
      <c r="AL87" s="367"/>
      <c r="AM87" s="367"/>
      <c r="AN87" s="367"/>
      <c r="AO87" s="367"/>
      <c r="AP87" s="367"/>
      <c r="AQ87" s="367"/>
      <c r="AR87" s="367"/>
      <c r="AS87" s="367"/>
      <c r="AT87" s="367"/>
      <c r="AU87" s="367"/>
      <c r="AV87" s="367"/>
      <c r="AW87" s="367"/>
      <c r="AX87" s="367"/>
      <c r="AY87" s="367"/>
      <c r="AZ87" s="369">
        <f t="shared" si="200"/>
        <v>20263948</v>
      </c>
      <c r="BA87" s="369">
        <f t="shared" si="201"/>
        <v>25412831</v>
      </c>
      <c r="BB87" s="369">
        <f t="shared" si="202"/>
        <v>20038948</v>
      </c>
    </row>
    <row r="88" spans="1:54" ht="15.75" x14ac:dyDescent="0.2">
      <c r="A88" s="343"/>
      <c r="B88" s="337" t="s">
        <v>415</v>
      </c>
      <c r="C88" s="338" t="s">
        <v>416</v>
      </c>
      <c r="D88" s="367"/>
      <c r="E88" s="367"/>
      <c r="F88" s="367"/>
      <c r="G88" s="367"/>
      <c r="H88" s="367"/>
      <c r="I88" s="367"/>
      <c r="J88" s="367"/>
      <c r="K88" s="367"/>
      <c r="L88" s="367"/>
      <c r="M88" s="367"/>
      <c r="N88" s="367"/>
      <c r="O88" s="367"/>
      <c r="P88" s="367"/>
      <c r="Q88" s="367"/>
      <c r="R88" s="367"/>
      <c r="S88" s="367"/>
      <c r="T88" s="367"/>
      <c r="U88" s="367"/>
      <c r="V88" s="367"/>
      <c r="W88" s="367"/>
      <c r="X88" s="367"/>
      <c r="Y88" s="367"/>
      <c r="Z88" s="367"/>
      <c r="AA88" s="367"/>
      <c r="AB88" s="343"/>
      <c r="AC88" s="337" t="s">
        <v>415</v>
      </c>
      <c r="AD88" s="338" t="s">
        <v>416</v>
      </c>
      <c r="AE88" s="367"/>
      <c r="AF88" s="367"/>
      <c r="AG88" s="367"/>
      <c r="AH88" s="367"/>
      <c r="AI88" s="367"/>
      <c r="AJ88" s="367"/>
      <c r="AK88" s="367"/>
      <c r="AL88" s="367"/>
      <c r="AM88" s="367"/>
      <c r="AN88" s="367"/>
      <c r="AO88" s="367"/>
      <c r="AP88" s="367"/>
      <c r="AQ88" s="367"/>
      <c r="AR88" s="367"/>
      <c r="AS88" s="367"/>
      <c r="AT88" s="367"/>
      <c r="AU88" s="367"/>
      <c r="AV88" s="367"/>
      <c r="AW88" s="367"/>
      <c r="AX88" s="367"/>
      <c r="AY88" s="367"/>
      <c r="AZ88" s="369">
        <f t="shared" si="200"/>
        <v>0</v>
      </c>
      <c r="BA88" s="369">
        <f t="shared" si="201"/>
        <v>0</v>
      </c>
      <c r="BB88" s="369">
        <f t="shared" si="202"/>
        <v>0</v>
      </c>
    </row>
    <row r="89" spans="1:54" ht="15.75" x14ac:dyDescent="0.2">
      <c r="A89" s="343"/>
      <c r="B89" s="337" t="s">
        <v>458</v>
      </c>
      <c r="C89" s="338" t="s">
        <v>468</v>
      </c>
      <c r="D89" s="367"/>
      <c r="E89" s="367"/>
      <c r="F89" s="367"/>
      <c r="G89" s="367"/>
      <c r="H89" s="367"/>
      <c r="I89" s="367"/>
      <c r="J89" s="367"/>
      <c r="K89" s="367">
        <v>6812790</v>
      </c>
      <c r="L89" s="367">
        <f>5250000+700000+862790</f>
        <v>6812790</v>
      </c>
      <c r="M89" s="367"/>
      <c r="N89" s="367">
        <v>750000</v>
      </c>
      <c r="O89" s="367">
        <v>750000</v>
      </c>
      <c r="P89" s="367"/>
      <c r="Q89" s="367"/>
      <c r="R89" s="367"/>
      <c r="S89" s="367"/>
      <c r="T89" s="367">
        <v>164175</v>
      </c>
      <c r="U89" s="367">
        <v>164175</v>
      </c>
      <c r="V89" s="367"/>
      <c r="W89" s="367"/>
      <c r="X89" s="367"/>
      <c r="Y89" s="367"/>
      <c r="Z89" s="367"/>
      <c r="AA89" s="367"/>
      <c r="AB89" s="343"/>
      <c r="AC89" s="337" t="s">
        <v>458</v>
      </c>
      <c r="AD89" s="338" t="s">
        <v>468</v>
      </c>
      <c r="AE89" s="367"/>
      <c r="AF89" s="367"/>
      <c r="AG89" s="367"/>
      <c r="AH89" s="367"/>
      <c r="AI89" s="367"/>
      <c r="AJ89" s="367"/>
      <c r="AK89" s="367"/>
      <c r="AL89" s="367"/>
      <c r="AM89" s="367"/>
      <c r="AN89" s="367"/>
      <c r="AO89" s="367"/>
      <c r="AP89" s="367"/>
      <c r="AQ89" s="367"/>
      <c r="AR89" s="367"/>
      <c r="AS89" s="367"/>
      <c r="AT89" s="367"/>
      <c r="AU89" s="367"/>
      <c r="AV89" s="367"/>
      <c r="AW89" s="367"/>
      <c r="AX89" s="367"/>
      <c r="AY89" s="367"/>
      <c r="AZ89" s="369">
        <f t="shared" si="200"/>
        <v>0</v>
      </c>
      <c r="BA89" s="369">
        <f t="shared" si="201"/>
        <v>7726965</v>
      </c>
      <c r="BB89" s="369">
        <f t="shared" si="202"/>
        <v>7726965</v>
      </c>
    </row>
    <row r="90" spans="1:54" ht="15.75" x14ac:dyDescent="0.2">
      <c r="A90" s="343"/>
      <c r="B90" s="325" t="s">
        <v>419</v>
      </c>
      <c r="C90" s="327" t="s">
        <v>420</v>
      </c>
      <c r="D90" s="367"/>
      <c r="E90" s="367"/>
      <c r="F90" s="367"/>
      <c r="G90" s="367"/>
      <c r="H90" s="367"/>
      <c r="I90" s="367"/>
      <c r="J90" s="367"/>
      <c r="K90" s="367">
        <v>3047000</v>
      </c>
      <c r="L90" s="367">
        <v>3047000</v>
      </c>
      <c r="M90" s="367"/>
      <c r="N90" s="367"/>
      <c r="O90" s="367"/>
      <c r="P90" s="367"/>
      <c r="Q90" s="367"/>
      <c r="R90" s="367"/>
      <c r="S90" s="367"/>
      <c r="T90" s="367"/>
      <c r="U90" s="367"/>
      <c r="V90" s="367"/>
      <c r="W90" s="367"/>
      <c r="X90" s="367"/>
      <c r="Y90" s="367"/>
      <c r="Z90" s="367"/>
      <c r="AA90" s="367"/>
      <c r="AB90" s="343"/>
      <c r="AC90" s="325" t="s">
        <v>419</v>
      </c>
      <c r="AD90" s="327" t="s">
        <v>420</v>
      </c>
      <c r="AE90" s="367"/>
      <c r="AF90" s="367"/>
      <c r="AG90" s="367"/>
      <c r="AH90" s="367"/>
      <c r="AI90" s="367"/>
      <c r="AJ90" s="367"/>
      <c r="AK90" s="367"/>
      <c r="AL90" s="367"/>
      <c r="AM90" s="367"/>
      <c r="AN90" s="367"/>
      <c r="AO90" s="367"/>
      <c r="AP90" s="367"/>
      <c r="AQ90" s="367"/>
      <c r="AR90" s="367"/>
      <c r="AS90" s="367"/>
      <c r="AT90" s="367"/>
      <c r="AU90" s="367"/>
      <c r="AV90" s="367"/>
      <c r="AW90" s="367"/>
      <c r="AX90" s="367"/>
      <c r="AY90" s="367"/>
      <c r="AZ90" s="369">
        <f t="shared" ref="AZ90" si="252">SUM(D90+G90+J90+M90+P90+S90+V90+Y90+AE90+AH90+AK90+AN90+AQ90+AW90+AT90)</f>
        <v>0</v>
      </c>
      <c r="BA90" s="369">
        <f t="shared" ref="BA90:BB90" si="253">SUM(E90+H90+K90+N90+Q90+T90+W90+Z90+AF90+AI90+AL90+AO90+AR90+AX90+AU90)</f>
        <v>3047000</v>
      </c>
      <c r="BB90" s="369">
        <f t="shared" si="253"/>
        <v>3047000</v>
      </c>
    </row>
    <row r="91" spans="1:54" ht="15.75" x14ac:dyDescent="0.2">
      <c r="A91" s="343"/>
      <c r="B91" s="337" t="s">
        <v>421</v>
      </c>
      <c r="C91" s="338" t="s">
        <v>469</v>
      </c>
      <c r="D91" s="367"/>
      <c r="E91" s="367"/>
      <c r="F91" s="367"/>
      <c r="G91" s="367"/>
      <c r="H91" s="367"/>
      <c r="I91" s="367"/>
      <c r="J91" s="367"/>
      <c r="K91" s="367"/>
      <c r="L91" s="367"/>
      <c r="M91" s="367"/>
      <c r="N91" s="367"/>
      <c r="O91" s="367"/>
      <c r="P91" s="367"/>
      <c r="Q91" s="367"/>
      <c r="R91" s="367"/>
      <c r="S91" s="367">
        <v>7000000</v>
      </c>
      <c r="T91" s="367">
        <v>9875700</v>
      </c>
      <c r="U91" s="367">
        <v>9875700</v>
      </c>
      <c r="V91" s="367"/>
      <c r="W91" s="367"/>
      <c r="X91" s="367"/>
      <c r="Y91" s="367"/>
      <c r="Z91" s="367"/>
      <c r="AA91" s="367"/>
      <c r="AB91" s="343"/>
      <c r="AC91" s="337" t="s">
        <v>421</v>
      </c>
      <c r="AD91" s="338" t="s">
        <v>469</v>
      </c>
      <c r="AE91" s="367"/>
      <c r="AF91" s="367"/>
      <c r="AG91" s="367"/>
      <c r="AH91" s="367"/>
      <c r="AI91" s="367"/>
      <c r="AJ91" s="367"/>
      <c r="AK91" s="367"/>
      <c r="AL91" s="367"/>
      <c r="AM91" s="367"/>
      <c r="AN91" s="367"/>
      <c r="AO91" s="367"/>
      <c r="AP91" s="367"/>
      <c r="AQ91" s="367"/>
      <c r="AR91" s="367"/>
      <c r="AS91" s="367"/>
      <c r="AT91" s="367"/>
      <c r="AU91" s="367"/>
      <c r="AV91" s="367"/>
      <c r="AW91" s="367"/>
      <c r="AX91" s="367"/>
      <c r="AY91" s="367"/>
      <c r="AZ91" s="369">
        <f t="shared" ref="AZ91:BB93" si="254">SUM(D91+G91+J91+M91+P91+S91+V91+Y91+AE91+AH91+AK91+AN91+AQ91+AW91+AT91)</f>
        <v>7000000</v>
      </c>
      <c r="BA91" s="369">
        <f t="shared" si="254"/>
        <v>9875700</v>
      </c>
      <c r="BB91" s="369">
        <f t="shared" si="254"/>
        <v>9875700</v>
      </c>
    </row>
    <row r="92" spans="1:54" ht="15.75" x14ac:dyDescent="0.2">
      <c r="A92" s="895" t="s">
        <v>506</v>
      </c>
      <c r="B92" s="896"/>
      <c r="C92" s="897"/>
      <c r="D92" s="368">
        <f t="shared" ref="D92" si="255">SUM(D86:D91)</f>
        <v>0</v>
      </c>
      <c r="E92" s="368">
        <f t="shared" ref="E92:Z92" si="256">SUM(E86:E91)</f>
        <v>0</v>
      </c>
      <c r="F92" s="368">
        <f t="shared" ref="F92" si="257">SUM(F86:F91)</f>
        <v>0</v>
      </c>
      <c r="G92" s="368">
        <f t="shared" ref="G92" si="258">SUM(G86:G91)</f>
        <v>0</v>
      </c>
      <c r="H92" s="368">
        <f t="shared" si="256"/>
        <v>0</v>
      </c>
      <c r="I92" s="368">
        <f t="shared" ref="I92" si="259">SUM(I86:I91)</f>
        <v>0</v>
      </c>
      <c r="J92" s="368">
        <f t="shared" ref="J92" si="260">SUM(J86:J91)</f>
        <v>0</v>
      </c>
      <c r="K92" s="368">
        <f t="shared" si="256"/>
        <v>9859790</v>
      </c>
      <c r="L92" s="368">
        <f t="shared" ref="L92" si="261">SUM(L86:L91)</f>
        <v>9859790</v>
      </c>
      <c r="M92" s="368">
        <f t="shared" ref="M92" si="262">SUM(M86:M91)</f>
        <v>19963948</v>
      </c>
      <c r="N92" s="368">
        <f t="shared" si="256"/>
        <v>25945924</v>
      </c>
      <c r="O92" s="368">
        <f t="shared" ref="O92" si="263">SUM(O86:O91)</f>
        <v>20713948</v>
      </c>
      <c r="P92" s="368">
        <f t="shared" ref="P92" si="264">SUM(P86:P91)</f>
        <v>0</v>
      </c>
      <c r="Q92" s="368">
        <f t="shared" si="256"/>
        <v>0</v>
      </c>
      <c r="R92" s="368">
        <f t="shared" ref="R92" si="265">SUM(R86:R91)</f>
        <v>0</v>
      </c>
      <c r="S92" s="368">
        <f t="shared" ref="S92" si="266">SUM(S86:S91)</f>
        <v>7300000</v>
      </c>
      <c r="T92" s="368">
        <f t="shared" si="256"/>
        <v>10256782</v>
      </c>
      <c r="U92" s="368">
        <f t="shared" ref="U92" si="267">SUM(U86:U91)</f>
        <v>10114875</v>
      </c>
      <c r="V92" s="368">
        <f t="shared" ref="V92" si="268">SUM(V86:V91)</f>
        <v>0</v>
      </c>
      <c r="W92" s="368">
        <f t="shared" si="256"/>
        <v>0</v>
      </c>
      <c r="X92" s="368">
        <f t="shared" ref="X92" si="269">SUM(X86:X91)</f>
        <v>0</v>
      </c>
      <c r="Y92" s="368">
        <f t="shared" ref="Y92" si="270">SUM(Y86:Y91)</f>
        <v>0</v>
      </c>
      <c r="Z92" s="368">
        <f t="shared" si="256"/>
        <v>0</v>
      </c>
      <c r="AA92" s="368">
        <f t="shared" ref="AA92" si="271">SUM(AA86:AA91)</f>
        <v>0</v>
      </c>
      <c r="AB92" s="895" t="s">
        <v>506</v>
      </c>
      <c r="AC92" s="896"/>
      <c r="AD92" s="897"/>
      <c r="AE92" s="368">
        <f t="shared" ref="AE92" si="272">SUM(AE86:AE91)</f>
        <v>0</v>
      </c>
      <c r="AF92" s="368">
        <f t="shared" ref="AF92:AY92" si="273">SUM(AF86:AF91)</f>
        <v>0</v>
      </c>
      <c r="AG92" s="368">
        <f t="shared" si="273"/>
        <v>0</v>
      </c>
      <c r="AH92" s="368">
        <f t="shared" si="273"/>
        <v>0</v>
      </c>
      <c r="AI92" s="368">
        <f t="shared" si="273"/>
        <v>0</v>
      </c>
      <c r="AJ92" s="368">
        <f t="shared" si="273"/>
        <v>0</v>
      </c>
      <c r="AK92" s="368">
        <f t="shared" si="273"/>
        <v>0</v>
      </c>
      <c r="AL92" s="368">
        <f t="shared" si="273"/>
        <v>0</v>
      </c>
      <c r="AM92" s="368">
        <f t="shared" si="273"/>
        <v>0</v>
      </c>
      <c r="AN92" s="368">
        <f t="shared" si="273"/>
        <v>0</v>
      </c>
      <c r="AO92" s="368">
        <f t="shared" si="273"/>
        <v>0</v>
      </c>
      <c r="AP92" s="368">
        <f t="shared" si="273"/>
        <v>0</v>
      </c>
      <c r="AQ92" s="368">
        <f t="shared" si="273"/>
        <v>0</v>
      </c>
      <c r="AR92" s="368">
        <f t="shared" si="273"/>
        <v>0</v>
      </c>
      <c r="AS92" s="368">
        <f t="shared" si="273"/>
        <v>0</v>
      </c>
      <c r="AT92" s="368">
        <f t="shared" si="273"/>
        <v>0</v>
      </c>
      <c r="AU92" s="368">
        <f t="shared" si="273"/>
        <v>0</v>
      </c>
      <c r="AV92" s="368">
        <f t="shared" si="273"/>
        <v>0</v>
      </c>
      <c r="AW92" s="368">
        <f t="shared" si="273"/>
        <v>0</v>
      </c>
      <c r="AX92" s="368">
        <f t="shared" si="273"/>
        <v>2496860</v>
      </c>
      <c r="AY92" s="368">
        <f t="shared" si="273"/>
        <v>2496860</v>
      </c>
      <c r="AZ92" s="368">
        <f t="shared" si="254"/>
        <v>27263948</v>
      </c>
      <c r="BA92" s="368">
        <f t="shared" si="254"/>
        <v>48559356</v>
      </c>
      <c r="BB92" s="368">
        <f t="shared" si="254"/>
        <v>43185473</v>
      </c>
    </row>
    <row r="93" spans="1:54" ht="15.75" x14ac:dyDescent="0.2">
      <c r="A93" s="890" t="s">
        <v>470</v>
      </c>
      <c r="B93" s="891"/>
      <c r="C93" s="892"/>
      <c r="D93" s="371">
        <f t="shared" ref="D93" si="274">SUM(D63+D69+D85+D92)</f>
        <v>369329920</v>
      </c>
      <c r="E93" s="371">
        <f t="shared" ref="E93:Z93" si="275">SUM(E63+E69+E85+E92)</f>
        <v>386012122</v>
      </c>
      <c r="F93" s="371">
        <f t="shared" ref="F93" si="276">SUM(F63+F69+F85+F92)</f>
        <v>386012122</v>
      </c>
      <c r="G93" s="371">
        <f t="shared" ref="G93" si="277">SUM(G63+G69+G85+G92)</f>
        <v>0</v>
      </c>
      <c r="H93" s="371">
        <f t="shared" si="275"/>
        <v>10627629</v>
      </c>
      <c r="I93" s="371">
        <f t="shared" ref="I93" si="278">SUM(I63+I69+I85+I92)</f>
        <v>10627629</v>
      </c>
      <c r="J93" s="371">
        <f t="shared" ref="J93" si="279">SUM(J63+J69+J85+J92)</f>
        <v>74967225</v>
      </c>
      <c r="K93" s="371">
        <f t="shared" si="275"/>
        <v>143288553</v>
      </c>
      <c r="L93" s="371">
        <f t="shared" ref="L93" si="280">SUM(L63+L69+L85+L92)</f>
        <v>140200547</v>
      </c>
      <c r="M93" s="371">
        <f t="shared" ref="M93" si="281">SUM(M63+M69+M85+M92)</f>
        <v>589609132</v>
      </c>
      <c r="N93" s="371">
        <f t="shared" si="275"/>
        <v>781781669</v>
      </c>
      <c r="O93" s="371">
        <f t="shared" ref="O93" si="282">SUM(O63+O69+O85+O92)</f>
        <v>661609388</v>
      </c>
      <c r="P93" s="371">
        <f t="shared" ref="P93" si="283">SUM(P63+P69+P85+P92)</f>
        <v>473500000</v>
      </c>
      <c r="Q93" s="371">
        <f t="shared" si="275"/>
        <v>561780529</v>
      </c>
      <c r="R93" s="371">
        <f t="shared" ref="R93" si="284">SUM(R63+R69+R85+R92)</f>
        <v>561780529</v>
      </c>
      <c r="S93" s="371">
        <f t="shared" ref="S93" si="285">SUM(S63+S69+S85+S92)</f>
        <v>138395493</v>
      </c>
      <c r="T93" s="371">
        <f t="shared" si="275"/>
        <v>155753344</v>
      </c>
      <c r="U93" s="371">
        <f t="shared" ref="U93" si="286">SUM(U63+U69+U85+U92)</f>
        <v>140909279</v>
      </c>
      <c r="V93" s="371">
        <f t="shared" ref="V93" si="287">SUM(V63+V69+V85+V92)</f>
        <v>370000</v>
      </c>
      <c r="W93" s="371">
        <f t="shared" si="275"/>
        <v>1272116</v>
      </c>
      <c r="X93" s="371">
        <f t="shared" ref="X93" si="288">SUM(X63+X69+X85+X92)</f>
        <v>1272116</v>
      </c>
      <c r="Y93" s="371">
        <f t="shared" ref="Y93" si="289">SUM(Y63+Y69+Y85+Y92)</f>
        <v>0</v>
      </c>
      <c r="Z93" s="371">
        <f t="shared" si="275"/>
        <v>0</v>
      </c>
      <c r="AA93" s="371">
        <f t="shared" ref="AA93" si="290">SUM(AA63+AA69+AA85+AA92)</f>
        <v>0</v>
      </c>
      <c r="AB93" s="890" t="s">
        <v>470</v>
      </c>
      <c r="AC93" s="891"/>
      <c r="AD93" s="892"/>
      <c r="AE93" s="371">
        <f t="shared" ref="AE93" si="291">SUM(AE63+AE69+AE85+AE92)</f>
        <v>0</v>
      </c>
      <c r="AF93" s="371">
        <f t="shared" ref="AF93:AY93" si="292">SUM(AF63+AF69+AF85+AF92)</f>
        <v>2317000</v>
      </c>
      <c r="AG93" s="371">
        <f t="shared" si="292"/>
        <v>2317000</v>
      </c>
      <c r="AH93" s="371">
        <f t="shared" si="292"/>
        <v>705000</v>
      </c>
      <c r="AI93" s="371">
        <f t="shared" si="292"/>
        <v>1230145</v>
      </c>
      <c r="AJ93" s="371">
        <f t="shared" si="292"/>
        <v>1230145</v>
      </c>
      <c r="AK93" s="371">
        <f t="shared" si="292"/>
        <v>408000</v>
      </c>
      <c r="AL93" s="371">
        <f t="shared" si="292"/>
        <v>9995067</v>
      </c>
      <c r="AM93" s="371">
        <f t="shared" si="292"/>
        <v>9995067</v>
      </c>
      <c r="AN93" s="371">
        <f t="shared" si="292"/>
        <v>0</v>
      </c>
      <c r="AO93" s="371">
        <f t="shared" si="292"/>
        <v>0</v>
      </c>
      <c r="AP93" s="371">
        <f t="shared" si="292"/>
        <v>0</v>
      </c>
      <c r="AQ93" s="371">
        <f t="shared" si="292"/>
        <v>0</v>
      </c>
      <c r="AR93" s="371">
        <f t="shared" si="292"/>
        <v>16407220</v>
      </c>
      <c r="AS93" s="371">
        <f t="shared" si="292"/>
        <v>16407220</v>
      </c>
      <c r="AT93" s="371">
        <f t="shared" si="292"/>
        <v>340000000</v>
      </c>
      <c r="AU93" s="371">
        <f t="shared" si="292"/>
        <v>340000000</v>
      </c>
      <c r="AV93" s="371">
        <f t="shared" si="292"/>
        <v>340000000</v>
      </c>
      <c r="AW93" s="371">
        <f t="shared" si="292"/>
        <v>55813230</v>
      </c>
      <c r="AX93" s="371">
        <f t="shared" si="292"/>
        <v>64777566</v>
      </c>
      <c r="AY93" s="371">
        <f t="shared" si="292"/>
        <v>64777566</v>
      </c>
      <c r="AZ93" s="371">
        <f t="shared" si="254"/>
        <v>2043098000</v>
      </c>
      <c r="BA93" s="371">
        <f t="shared" si="254"/>
        <v>2475242960</v>
      </c>
      <c r="BB93" s="371">
        <f t="shared" si="254"/>
        <v>2337138608</v>
      </c>
    </row>
  </sheetData>
  <mergeCells count="36">
    <mergeCell ref="AN1:AX1"/>
    <mergeCell ref="AE1:AG2"/>
    <mergeCell ref="AH2:AJ2"/>
    <mergeCell ref="AK2:AM2"/>
    <mergeCell ref="AN2:AP2"/>
    <mergeCell ref="AQ2:AS2"/>
    <mergeCell ref="AT2:AV2"/>
    <mergeCell ref="AW2:AY2"/>
    <mergeCell ref="J2:L2"/>
    <mergeCell ref="M1:O2"/>
    <mergeCell ref="AH1:AM1"/>
    <mergeCell ref="A93:C93"/>
    <mergeCell ref="AB93:AD93"/>
    <mergeCell ref="S1:U2"/>
    <mergeCell ref="V2:X2"/>
    <mergeCell ref="Y2:AA2"/>
    <mergeCell ref="AB85:AD85"/>
    <mergeCell ref="A92:C92"/>
    <mergeCell ref="AB92:AD92"/>
    <mergeCell ref="A85:C85"/>
    <mergeCell ref="AZ1:BB2"/>
    <mergeCell ref="D1:L1"/>
    <mergeCell ref="A69:C69"/>
    <mergeCell ref="AB69:AD69"/>
    <mergeCell ref="AB1:AB2"/>
    <mergeCell ref="AC1:AC2"/>
    <mergeCell ref="AD1:AD2"/>
    <mergeCell ref="A1:A2"/>
    <mergeCell ref="B1:B2"/>
    <mergeCell ref="C1:C2"/>
    <mergeCell ref="A63:C63"/>
    <mergeCell ref="AB63:AD63"/>
    <mergeCell ref="V1:Z1"/>
    <mergeCell ref="P1:R2"/>
    <mergeCell ref="D2:F2"/>
    <mergeCell ref="G2:I2"/>
  </mergeCells>
  <pageMargins left="0.74803149606299213" right="0.74803149606299213" top="0.98425196850393704" bottom="0.98425196850393704" header="0.51181102362204722" footer="0.51181102362204722"/>
  <pageSetup paperSize="9" scale="29" fitToWidth="0" orientation="landscape" r:id="rId1"/>
  <headerFooter>
    <oddHeader xml:space="preserve">&amp;C&amp;"Arial CE,Félkövér"11/2019. (V.17.)  számú költségvetési rendelethez
ZALAKAROS VÁROS ÖNKORMÁNYZATA ÉS KÖLTSÉGVETÉSI SZERVEI 
2018. ÉVI BEVÉTELEI COFOG-ONKÉNT&amp;R&amp;P.oldal
&amp;A
1000.-Ft-ban
</oddHeader>
  </headerFooter>
  <rowBreaks count="1" manualBreakCount="1">
    <brk id="63" max="16383" man="1"/>
  </rowBreaks>
  <colBreaks count="1" manualBreakCount="1">
    <brk id="2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M85"/>
  <sheetViews>
    <sheetView zoomScale="75" zoomScaleNormal="75" zoomScaleSheetLayoutView="75" workbookViewId="0">
      <selection activeCell="BH72" sqref="BH72"/>
    </sheetView>
  </sheetViews>
  <sheetFormatPr defaultRowHeight="12.75" x14ac:dyDescent="0.2"/>
  <cols>
    <col min="1" max="1" width="11.140625" style="264" customWidth="1"/>
    <col min="2" max="2" width="50.7109375" style="264" customWidth="1"/>
    <col min="3" max="3" width="4.7109375" style="264" customWidth="1"/>
    <col min="4" max="4" width="5.42578125" style="264" customWidth="1"/>
    <col min="5" max="5" width="14.140625" style="264" customWidth="1"/>
    <col min="6" max="8" width="15.85546875" style="264" customWidth="1"/>
    <col min="9" max="11" width="15.28515625" style="264" customWidth="1"/>
    <col min="12" max="12" width="17" style="264" customWidth="1"/>
    <col min="13" max="13" width="16" style="264" customWidth="1"/>
    <col min="14" max="14" width="17" style="264" customWidth="1"/>
    <col min="15" max="16" width="14" style="264" customWidth="1"/>
    <col min="17" max="17" width="10" style="264" customWidth="1"/>
    <col min="18" max="20" width="14.140625" style="264" customWidth="1"/>
    <col min="21" max="22" width="15.140625" style="264" customWidth="1"/>
    <col min="23" max="23" width="14.5703125" style="264" customWidth="1"/>
    <col min="24" max="26" width="14.140625" style="264" customWidth="1"/>
    <col min="27" max="29" width="15.42578125" style="264" customWidth="1"/>
    <col min="30" max="31" width="14.140625" style="264" customWidth="1"/>
    <col min="32" max="32" width="9.42578125" style="264" customWidth="1"/>
    <col min="33" max="33" width="50" style="264" customWidth="1"/>
    <col min="34" max="34" width="14.42578125" style="264" customWidth="1"/>
    <col min="35" max="37" width="14" style="264" customWidth="1"/>
    <col min="38" max="39" width="14.7109375" style="264" customWidth="1"/>
    <col min="40" max="40" width="12.28515625" style="264" customWidth="1"/>
    <col min="41" max="41" width="14.85546875" style="264" customWidth="1"/>
    <col min="42" max="42" width="12" style="264" customWidth="1"/>
    <col min="43" max="43" width="13.42578125" style="264" customWidth="1"/>
    <col min="44" max="49" width="13.5703125" style="264" customWidth="1"/>
    <col min="50" max="52" width="13.140625" style="264" customWidth="1"/>
    <col min="53" max="54" width="15.5703125" style="264" customWidth="1"/>
    <col min="55" max="55" width="14.5703125" style="264" customWidth="1"/>
    <col min="56" max="58" width="15.5703125" style="264" customWidth="1"/>
    <col min="59" max="60" width="13" style="264" customWidth="1"/>
    <col min="61" max="61" width="17" style="264" customWidth="1"/>
    <col min="62" max="62" width="16.85546875" style="264" customWidth="1"/>
    <col min="63" max="63" width="16.7109375" style="264" customWidth="1"/>
    <col min="64" max="64" width="9.140625" style="264"/>
    <col min="65" max="65" width="11.5703125" style="264" bestFit="1" customWidth="1"/>
    <col min="66" max="293" width="9.140625" style="264"/>
    <col min="294" max="294" width="11.140625" style="264" customWidth="1"/>
    <col min="295" max="295" width="50.7109375" style="264" customWidth="1"/>
    <col min="296" max="296" width="6.85546875" style="264" customWidth="1"/>
    <col min="297" max="297" width="7.85546875" style="264" customWidth="1"/>
    <col min="298" max="298" width="15.85546875" style="264" customWidth="1"/>
    <col min="299" max="299" width="15.28515625" style="264" customWidth="1"/>
    <col min="300" max="300" width="17" style="264" customWidth="1"/>
    <col min="301" max="301" width="14" style="264" customWidth="1"/>
    <col min="302" max="302" width="12.28515625" style="264" customWidth="1"/>
    <col min="303" max="303" width="17.42578125" style="264" customWidth="1"/>
    <col min="304" max="304" width="14.140625" style="264" customWidth="1"/>
    <col min="305" max="305" width="15.42578125" style="264" customWidth="1"/>
    <col min="306" max="307" width="9.42578125" style="264" customWidth="1"/>
    <col min="308" max="308" width="50" style="264" customWidth="1"/>
    <col min="309" max="309" width="14" style="264" customWidth="1"/>
    <col min="310" max="310" width="11" style="264" customWidth="1"/>
    <col min="311" max="311" width="10.5703125" style="264" customWidth="1"/>
    <col min="312" max="312" width="13.5703125" style="264" customWidth="1"/>
    <col min="313" max="313" width="10.5703125" style="264" customWidth="1"/>
    <col min="314" max="314" width="13.140625" style="264" customWidth="1"/>
    <col min="315" max="315" width="15.5703125" style="264" customWidth="1"/>
    <col min="316" max="316" width="14.5703125" style="264" customWidth="1"/>
    <col min="317" max="317" width="9" style="264" customWidth="1"/>
    <col min="318" max="318" width="17.7109375" style="264" customWidth="1"/>
    <col min="319" max="549" width="9.140625" style="264"/>
    <col min="550" max="550" width="11.140625" style="264" customWidth="1"/>
    <col min="551" max="551" width="50.7109375" style="264" customWidth="1"/>
    <col min="552" max="552" width="6.85546875" style="264" customWidth="1"/>
    <col min="553" max="553" width="7.85546875" style="264" customWidth="1"/>
    <col min="554" max="554" width="15.85546875" style="264" customWidth="1"/>
    <col min="555" max="555" width="15.28515625" style="264" customWidth="1"/>
    <col min="556" max="556" width="17" style="264" customWidth="1"/>
    <col min="557" max="557" width="14" style="264" customWidth="1"/>
    <col min="558" max="558" width="12.28515625" style="264" customWidth="1"/>
    <col min="559" max="559" width="17.42578125" style="264" customWidth="1"/>
    <col min="560" max="560" width="14.140625" style="264" customWidth="1"/>
    <col min="561" max="561" width="15.42578125" style="264" customWidth="1"/>
    <col min="562" max="563" width="9.42578125" style="264" customWidth="1"/>
    <col min="564" max="564" width="50" style="264" customWidth="1"/>
    <col min="565" max="565" width="14" style="264" customWidth="1"/>
    <col min="566" max="566" width="11" style="264" customWidth="1"/>
    <col min="567" max="567" width="10.5703125" style="264" customWidth="1"/>
    <col min="568" max="568" width="13.5703125" style="264" customWidth="1"/>
    <col min="569" max="569" width="10.5703125" style="264" customWidth="1"/>
    <col min="570" max="570" width="13.140625" style="264" customWidth="1"/>
    <col min="571" max="571" width="15.5703125" style="264" customWidth="1"/>
    <col min="572" max="572" width="14.5703125" style="264" customWidth="1"/>
    <col min="573" max="573" width="9" style="264" customWidth="1"/>
    <col min="574" max="574" width="17.7109375" style="264" customWidth="1"/>
    <col min="575" max="805" width="9.140625" style="264"/>
    <col min="806" max="806" width="11.140625" style="264" customWidth="1"/>
    <col min="807" max="807" width="50.7109375" style="264" customWidth="1"/>
    <col min="808" max="808" width="6.85546875" style="264" customWidth="1"/>
    <col min="809" max="809" width="7.85546875" style="264" customWidth="1"/>
    <col min="810" max="810" width="15.85546875" style="264" customWidth="1"/>
    <col min="811" max="811" width="15.28515625" style="264" customWidth="1"/>
    <col min="812" max="812" width="17" style="264" customWidth="1"/>
    <col min="813" max="813" width="14" style="264" customWidth="1"/>
    <col min="814" max="814" width="12.28515625" style="264" customWidth="1"/>
    <col min="815" max="815" width="17.42578125" style="264" customWidth="1"/>
    <col min="816" max="816" width="14.140625" style="264" customWidth="1"/>
    <col min="817" max="817" width="15.42578125" style="264" customWidth="1"/>
    <col min="818" max="819" width="9.42578125" style="264" customWidth="1"/>
    <col min="820" max="820" width="50" style="264" customWidth="1"/>
    <col min="821" max="821" width="14" style="264" customWidth="1"/>
    <col min="822" max="822" width="11" style="264" customWidth="1"/>
    <col min="823" max="823" width="10.5703125" style="264" customWidth="1"/>
    <col min="824" max="824" width="13.5703125" style="264" customWidth="1"/>
    <col min="825" max="825" width="10.5703125" style="264" customWidth="1"/>
    <col min="826" max="826" width="13.140625" style="264" customWidth="1"/>
    <col min="827" max="827" width="15.5703125" style="264" customWidth="1"/>
    <col min="828" max="828" width="14.5703125" style="264" customWidth="1"/>
    <col min="829" max="829" width="9" style="264" customWidth="1"/>
    <col min="830" max="830" width="17.7109375" style="264" customWidth="1"/>
    <col min="831" max="1061" width="9.140625" style="264"/>
    <col min="1062" max="1062" width="11.140625" style="264" customWidth="1"/>
    <col min="1063" max="1063" width="50.7109375" style="264" customWidth="1"/>
    <col min="1064" max="1064" width="6.85546875" style="264" customWidth="1"/>
    <col min="1065" max="1065" width="7.85546875" style="264" customWidth="1"/>
    <col min="1066" max="1066" width="15.85546875" style="264" customWidth="1"/>
    <col min="1067" max="1067" width="15.28515625" style="264" customWidth="1"/>
    <col min="1068" max="1068" width="17" style="264" customWidth="1"/>
    <col min="1069" max="1069" width="14" style="264" customWidth="1"/>
    <col min="1070" max="1070" width="12.28515625" style="264" customWidth="1"/>
    <col min="1071" max="1071" width="17.42578125" style="264" customWidth="1"/>
    <col min="1072" max="1072" width="14.140625" style="264" customWidth="1"/>
    <col min="1073" max="1073" width="15.42578125" style="264" customWidth="1"/>
    <col min="1074" max="1075" width="9.42578125" style="264" customWidth="1"/>
    <col min="1076" max="1076" width="50" style="264" customWidth="1"/>
    <col min="1077" max="1077" width="14" style="264" customWidth="1"/>
    <col min="1078" max="1078" width="11" style="264" customWidth="1"/>
    <col min="1079" max="1079" width="10.5703125" style="264" customWidth="1"/>
    <col min="1080" max="1080" width="13.5703125" style="264" customWidth="1"/>
    <col min="1081" max="1081" width="10.5703125" style="264" customWidth="1"/>
    <col min="1082" max="1082" width="13.140625" style="264" customWidth="1"/>
    <col min="1083" max="1083" width="15.5703125" style="264" customWidth="1"/>
    <col min="1084" max="1084" width="14.5703125" style="264" customWidth="1"/>
    <col min="1085" max="1085" width="9" style="264" customWidth="1"/>
    <col min="1086" max="1086" width="17.7109375" style="264" customWidth="1"/>
    <col min="1087" max="1317" width="9.140625" style="264"/>
    <col min="1318" max="1318" width="11.140625" style="264" customWidth="1"/>
    <col min="1319" max="1319" width="50.7109375" style="264" customWidth="1"/>
    <col min="1320" max="1320" width="6.85546875" style="264" customWidth="1"/>
    <col min="1321" max="1321" width="7.85546875" style="264" customWidth="1"/>
    <col min="1322" max="1322" width="15.85546875" style="264" customWidth="1"/>
    <col min="1323" max="1323" width="15.28515625" style="264" customWidth="1"/>
    <col min="1324" max="1324" width="17" style="264" customWidth="1"/>
    <col min="1325" max="1325" width="14" style="264" customWidth="1"/>
    <col min="1326" max="1326" width="12.28515625" style="264" customWidth="1"/>
    <col min="1327" max="1327" width="17.42578125" style="264" customWidth="1"/>
    <col min="1328" max="1328" width="14.140625" style="264" customWidth="1"/>
    <col min="1329" max="1329" width="15.42578125" style="264" customWidth="1"/>
    <col min="1330" max="1331" width="9.42578125" style="264" customWidth="1"/>
    <col min="1332" max="1332" width="50" style="264" customWidth="1"/>
    <col min="1333" max="1333" width="14" style="264" customWidth="1"/>
    <col min="1334" max="1334" width="11" style="264" customWidth="1"/>
    <col min="1335" max="1335" width="10.5703125" style="264" customWidth="1"/>
    <col min="1336" max="1336" width="13.5703125" style="264" customWidth="1"/>
    <col min="1337" max="1337" width="10.5703125" style="264" customWidth="1"/>
    <col min="1338" max="1338" width="13.140625" style="264" customWidth="1"/>
    <col min="1339" max="1339" width="15.5703125" style="264" customWidth="1"/>
    <col min="1340" max="1340" width="14.5703125" style="264" customWidth="1"/>
    <col min="1341" max="1341" width="9" style="264" customWidth="1"/>
    <col min="1342" max="1342" width="17.7109375" style="264" customWidth="1"/>
    <col min="1343" max="1573" width="9.140625" style="264"/>
    <col min="1574" max="1574" width="11.140625" style="264" customWidth="1"/>
    <col min="1575" max="1575" width="50.7109375" style="264" customWidth="1"/>
    <col min="1576" max="1576" width="6.85546875" style="264" customWidth="1"/>
    <col min="1577" max="1577" width="7.85546875" style="264" customWidth="1"/>
    <col min="1578" max="1578" width="15.85546875" style="264" customWidth="1"/>
    <col min="1579" max="1579" width="15.28515625" style="264" customWidth="1"/>
    <col min="1580" max="1580" width="17" style="264" customWidth="1"/>
    <col min="1581" max="1581" width="14" style="264" customWidth="1"/>
    <col min="1582" max="1582" width="12.28515625" style="264" customWidth="1"/>
    <col min="1583" max="1583" width="17.42578125" style="264" customWidth="1"/>
    <col min="1584" max="1584" width="14.140625" style="264" customWidth="1"/>
    <col min="1585" max="1585" width="15.42578125" style="264" customWidth="1"/>
    <col min="1586" max="1587" width="9.42578125" style="264" customWidth="1"/>
    <col min="1588" max="1588" width="50" style="264" customWidth="1"/>
    <col min="1589" max="1589" width="14" style="264" customWidth="1"/>
    <col min="1590" max="1590" width="11" style="264" customWidth="1"/>
    <col min="1591" max="1591" width="10.5703125" style="264" customWidth="1"/>
    <col min="1592" max="1592" width="13.5703125" style="264" customWidth="1"/>
    <col min="1593" max="1593" width="10.5703125" style="264" customWidth="1"/>
    <col min="1594" max="1594" width="13.140625" style="264" customWidth="1"/>
    <col min="1595" max="1595" width="15.5703125" style="264" customWidth="1"/>
    <col min="1596" max="1596" width="14.5703125" style="264" customWidth="1"/>
    <col min="1597" max="1597" width="9" style="264" customWidth="1"/>
    <col min="1598" max="1598" width="17.7109375" style="264" customWidth="1"/>
    <col min="1599" max="1829" width="9.140625" style="264"/>
    <col min="1830" max="1830" width="11.140625" style="264" customWidth="1"/>
    <col min="1831" max="1831" width="50.7109375" style="264" customWidth="1"/>
    <col min="1832" max="1832" width="6.85546875" style="264" customWidth="1"/>
    <col min="1833" max="1833" width="7.85546875" style="264" customWidth="1"/>
    <col min="1834" max="1834" width="15.85546875" style="264" customWidth="1"/>
    <col min="1835" max="1835" width="15.28515625" style="264" customWidth="1"/>
    <col min="1836" max="1836" width="17" style="264" customWidth="1"/>
    <col min="1837" max="1837" width="14" style="264" customWidth="1"/>
    <col min="1838" max="1838" width="12.28515625" style="264" customWidth="1"/>
    <col min="1839" max="1839" width="17.42578125" style="264" customWidth="1"/>
    <col min="1840" max="1840" width="14.140625" style="264" customWidth="1"/>
    <col min="1841" max="1841" width="15.42578125" style="264" customWidth="1"/>
    <col min="1842" max="1843" width="9.42578125" style="264" customWidth="1"/>
    <col min="1844" max="1844" width="50" style="264" customWidth="1"/>
    <col min="1845" max="1845" width="14" style="264" customWidth="1"/>
    <col min="1846" max="1846" width="11" style="264" customWidth="1"/>
    <col min="1847" max="1847" width="10.5703125" style="264" customWidth="1"/>
    <col min="1848" max="1848" width="13.5703125" style="264" customWidth="1"/>
    <col min="1849" max="1849" width="10.5703125" style="264" customWidth="1"/>
    <col min="1850" max="1850" width="13.140625" style="264" customWidth="1"/>
    <col min="1851" max="1851" width="15.5703125" style="264" customWidth="1"/>
    <col min="1852" max="1852" width="14.5703125" style="264" customWidth="1"/>
    <col min="1853" max="1853" width="9" style="264" customWidth="1"/>
    <col min="1854" max="1854" width="17.7109375" style="264" customWidth="1"/>
    <col min="1855" max="2085" width="9.140625" style="264"/>
    <col min="2086" max="2086" width="11.140625" style="264" customWidth="1"/>
    <col min="2087" max="2087" width="50.7109375" style="264" customWidth="1"/>
    <col min="2088" max="2088" width="6.85546875" style="264" customWidth="1"/>
    <col min="2089" max="2089" width="7.85546875" style="264" customWidth="1"/>
    <col min="2090" max="2090" width="15.85546875" style="264" customWidth="1"/>
    <col min="2091" max="2091" width="15.28515625" style="264" customWidth="1"/>
    <col min="2092" max="2092" width="17" style="264" customWidth="1"/>
    <col min="2093" max="2093" width="14" style="264" customWidth="1"/>
    <col min="2094" max="2094" width="12.28515625" style="264" customWidth="1"/>
    <col min="2095" max="2095" width="17.42578125" style="264" customWidth="1"/>
    <col min="2096" max="2096" width="14.140625" style="264" customWidth="1"/>
    <col min="2097" max="2097" width="15.42578125" style="264" customWidth="1"/>
    <col min="2098" max="2099" width="9.42578125" style="264" customWidth="1"/>
    <col min="2100" max="2100" width="50" style="264" customWidth="1"/>
    <col min="2101" max="2101" width="14" style="264" customWidth="1"/>
    <col min="2102" max="2102" width="11" style="264" customWidth="1"/>
    <col min="2103" max="2103" width="10.5703125" style="264" customWidth="1"/>
    <col min="2104" max="2104" width="13.5703125" style="264" customWidth="1"/>
    <col min="2105" max="2105" width="10.5703125" style="264" customWidth="1"/>
    <col min="2106" max="2106" width="13.140625" style="264" customWidth="1"/>
    <col min="2107" max="2107" width="15.5703125" style="264" customWidth="1"/>
    <col min="2108" max="2108" width="14.5703125" style="264" customWidth="1"/>
    <col min="2109" max="2109" width="9" style="264" customWidth="1"/>
    <col min="2110" max="2110" width="17.7109375" style="264" customWidth="1"/>
    <col min="2111" max="2341" width="9.140625" style="264"/>
    <col min="2342" max="2342" width="11.140625" style="264" customWidth="1"/>
    <col min="2343" max="2343" width="50.7109375" style="264" customWidth="1"/>
    <col min="2344" max="2344" width="6.85546875" style="264" customWidth="1"/>
    <col min="2345" max="2345" width="7.85546875" style="264" customWidth="1"/>
    <col min="2346" max="2346" width="15.85546875" style="264" customWidth="1"/>
    <col min="2347" max="2347" width="15.28515625" style="264" customWidth="1"/>
    <col min="2348" max="2348" width="17" style="264" customWidth="1"/>
    <col min="2349" max="2349" width="14" style="264" customWidth="1"/>
    <col min="2350" max="2350" width="12.28515625" style="264" customWidth="1"/>
    <col min="2351" max="2351" width="17.42578125" style="264" customWidth="1"/>
    <col min="2352" max="2352" width="14.140625" style="264" customWidth="1"/>
    <col min="2353" max="2353" width="15.42578125" style="264" customWidth="1"/>
    <col min="2354" max="2355" width="9.42578125" style="264" customWidth="1"/>
    <col min="2356" max="2356" width="50" style="264" customWidth="1"/>
    <col min="2357" max="2357" width="14" style="264" customWidth="1"/>
    <col min="2358" max="2358" width="11" style="264" customWidth="1"/>
    <col min="2359" max="2359" width="10.5703125" style="264" customWidth="1"/>
    <col min="2360" max="2360" width="13.5703125" style="264" customWidth="1"/>
    <col min="2361" max="2361" width="10.5703125" style="264" customWidth="1"/>
    <col min="2362" max="2362" width="13.140625" style="264" customWidth="1"/>
    <col min="2363" max="2363" width="15.5703125" style="264" customWidth="1"/>
    <col min="2364" max="2364" width="14.5703125" style="264" customWidth="1"/>
    <col min="2365" max="2365" width="9" style="264" customWidth="1"/>
    <col min="2366" max="2366" width="17.7109375" style="264" customWidth="1"/>
    <col min="2367" max="2597" width="9.140625" style="264"/>
    <col min="2598" max="2598" width="11.140625" style="264" customWidth="1"/>
    <col min="2599" max="2599" width="50.7109375" style="264" customWidth="1"/>
    <col min="2600" max="2600" width="6.85546875" style="264" customWidth="1"/>
    <col min="2601" max="2601" width="7.85546875" style="264" customWidth="1"/>
    <col min="2602" max="2602" width="15.85546875" style="264" customWidth="1"/>
    <col min="2603" max="2603" width="15.28515625" style="264" customWidth="1"/>
    <col min="2604" max="2604" width="17" style="264" customWidth="1"/>
    <col min="2605" max="2605" width="14" style="264" customWidth="1"/>
    <col min="2606" max="2606" width="12.28515625" style="264" customWidth="1"/>
    <col min="2607" max="2607" width="17.42578125" style="264" customWidth="1"/>
    <col min="2608" max="2608" width="14.140625" style="264" customWidth="1"/>
    <col min="2609" max="2609" width="15.42578125" style="264" customWidth="1"/>
    <col min="2610" max="2611" width="9.42578125" style="264" customWidth="1"/>
    <col min="2612" max="2612" width="50" style="264" customWidth="1"/>
    <col min="2613" max="2613" width="14" style="264" customWidth="1"/>
    <col min="2614" max="2614" width="11" style="264" customWidth="1"/>
    <col min="2615" max="2615" width="10.5703125" style="264" customWidth="1"/>
    <col min="2616" max="2616" width="13.5703125" style="264" customWidth="1"/>
    <col min="2617" max="2617" width="10.5703125" style="264" customWidth="1"/>
    <col min="2618" max="2618" width="13.140625" style="264" customWidth="1"/>
    <col min="2619" max="2619" width="15.5703125" style="264" customWidth="1"/>
    <col min="2620" max="2620" width="14.5703125" style="264" customWidth="1"/>
    <col min="2621" max="2621" width="9" style="264" customWidth="1"/>
    <col min="2622" max="2622" width="17.7109375" style="264" customWidth="1"/>
    <col min="2623" max="2853" width="9.140625" style="264"/>
    <col min="2854" max="2854" width="11.140625" style="264" customWidth="1"/>
    <col min="2855" max="2855" width="50.7109375" style="264" customWidth="1"/>
    <col min="2856" max="2856" width="6.85546875" style="264" customWidth="1"/>
    <col min="2857" max="2857" width="7.85546875" style="264" customWidth="1"/>
    <col min="2858" max="2858" width="15.85546875" style="264" customWidth="1"/>
    <col min="2859" max="2859" width="15.28515625" style="264" customWidth="1"/>
    <col min="2860" max="2860" width="17" style="264" customWidth="1"/>
    <col min="2861" max="2861" width="14" style="264" customWidth="1"/>
    <col min="2862" max="2862" width="12.28515625" style="264" customWidth="1"/>
    <col min="2863" max="2863" width="17.42578125" style="264" customWidth="1"/>
    <col min="2864" max="2864" width="14.140625" style="264" customWidth="1"/>
    <col min="2865" max="2865" width="15.42578125" style="264" customWidth="1"/>
    <col min="2866" max="2867" width="9.42578125" style="264" customWidth="1"/>
    <col min="2868" max="2868" width="50" style="264" customWidth="1"/>
    <col min="2869" max="2869" width="14" style="264" customWidth="1"/>
    <col min="2870" max="2870" width="11" style="264" customWidth="1"/>
    <col min="2871" max="2871" width="10.5703125" style="264" customWidth="1"/>
    <col min="2872" max="2872" width="13.5703125" style="264" customWidth="1"/>
    <col min="2873" max="2873" width="10.5703125" style="264" customWidth="1"/>
    <col min="2874" max="2874" width="13.140625" style="264" customWidth="1"/>
    <col min="2875" max="2875" width="15.5703125" style="264" customWidth="1"/>
    <col min="2876" max="2876" width="14.5703125" style="264" customWidth="1"/>
    <col min="2877" max="2877" width="9" style="264" customWidth="1"/>
    <col min="2878" max="2878" width="17.7109375" style="264" customWidth="1"/>
    <col min="2879" max="3109" width="9.140625" style="264"/>
    <col min="3110" max="3110" width="11.140625" style="264" customWidth="1"/>
    <col min="3111" max="3111" width="50.7109375" style="264" customWidth="1"/>
    <col min="3112" max="3112" width="6.85546875" style="264" customWidth="1"/>
    <col min="3113" max="3113" width="7.85546875" style="264" customWidth="1"/>
    <col min="3114" max="3114" width="15.85546875" style="264" customWidth="1"/>
    <col min="3115" max="3115" width="15.28515625" style="264" customWidth="1"/>
    <col min="3116" max="3116" width="17" style="264" customWidth="1"/>
    <col min="3117" max="3117" width="14" style="264" customWidth="1"/>
    <col min="3118" max="3118" width="12.28515625" style="264" customWidth="1"/>
    <col min="3119" max="3119" width="17.42578125" style="264" customWidth="1"/>
    <col min="3120" max="3120" width="14.140625" style="264" customWidth="1"/>
    <col min="3121" max="3121" width="15.42578125" style="264" customWidth="1"/>
    <col min="3122" max="3123" width="9.42578125" style="264" customWidth="1"/>
    <col min="3124" max="3124" width="50" style="264" customWidth="1"/>
    <col min="3125" max="3125" width="14" style="264" customWidth="1"/>
    <col min="3126" max="3126" width="11" style="264" customWidth="1"/>
    <col min="3127" max="3127" width="10.5703125" style="264" customWidth="1"/>
    <col min="3128" max="3128" width="13.5703125" style="264" customWidth="1"/>
    <col min="3129" max="3129" width="10.5703125" style="264" customWidth="1"/>
    <col min="3130" max="3130" width="13.140625" style="264" customWidth="1"/>
    <col min="3131" max="3131" width="15.5703125" style="264" customWidth="1"/>
    <col min="3132" max="3132" width="14.5703125" style="264" customWidth="1"/>
    <col min="3133" max="3133" width="9" style="264" customWidth="1"/>
    <col min="3134" max="3134" width="17.7109375" style="264" customWidth="1"/>
    <col min="3135" max="3365" width="9.140625" style="264"/>
    <col min="3366" max="3366" width="11.140625" style="264" customWidth="1"/>
    <col min="3367" max="3367" width="50.7109375" style="264" customWidth="1"/>
    <col min="3368" max="3368" width="6.85546875" style="264" customWidth="1"/>
    <col min="3369" max="3369" width="7.85546875" style="264" customWidth="1"/>
    <col min="3370" max="3370" width="15.85546875" style="264" customWidth="1"/>
    <col min="3371" max="3371" width="15.28515625" style="264" customWidth="1"/>
    <col min="3372" max="3372" width="17" style="264" customWidth="1"/>
    <col min="3373" max="3373" width="14" style="264" customWidth="1"/>
    <col min="3374" max="3374" width="12.28515625" style="264" customWidth="1"/>
    <col min="3375" max="3375" width="17.42578125" style="264" customWidth="1"/>
    <col min="3376" max="3376" width="14.140625" style="264" customWidth="1"/>
    <col min="3377" max="3377" width="15.42578125" style="264" customWidth="1"/>
    <col min="3378" max="3379" width="9.42578125" style="264" customWidth="1"/>
    <col min="3380" max="3380" width="50" style="264" customWidth="1"/>
    <col min="3381" max="3381" width="14" style="264" customWidth="1"/>
    <col min="3382" max="3382" width="11" style="264" customWidth="1"/>
    <col min="3383" max="3383" width="10.5703125" style="264" customWidth="1"/>
    <col min="3384" max="3384" width="13.5703125" style="264" customWidth="1"/>
    <col min="3385" max="3385" width="10.5703125" style="264" customWidth="1"/>
    <col min="3386" max="3386" width="13.140625" style="264" customWidth="1"/>
    <col min="3387" max="3387" width="15.5703125" style="264" customWidth="1"/>
    <col min="3388" max="3388" width="14.5703125" style="264" customWidth="1"/>
    <col min="3389" max="3389" width="9" style="264" customWidth="1"/>
    <col min="3390" max="3390" width="17.7109375" style="264" customWidth="1"/>
    <col min="3391" max="3621" width="9.140625" style="264"/>
    <col min="3622" max="3622" width="11.140625" style="264" customWidth="1"/>
    <col min="3623" max="3623" width="50.7109375" style="264" customWidth="1"/>
    <col min="3624" max="3624" width="6.85546875" style="264" customWidth="1"/>
    <col min="3625" max="3625" width="7.85546875" style="264" customWidth="1"/>
    <col min="3626" max="3626" width="15.85546875" style="264" customWidth="1"/>
    <col min="3627" max="3627" width="15.28515625" style="264" customWidth="1"/>
    <col min="3628" max="3628" width="17" style="264" customWidth="1"/>
    <col min="3629" max="3629" width="14" style="264" customWidth="1"/>
    <col min="3630" max="3630" width="12.28515625" style="264" customWidth="1"/>
    <col min="3631" max="3631" width="17.42578125" style="264" customWidth="1"/>
    <col min="3632" max="3632" width="14.140625" style="264" customWidth="1"/>
    <col min="3633" max="3633" width="15.42578125" style="264" customWidth="1"/>
    <col min="3634" max="3635" width="9.42578125" style="264" customWidth="1"/>
    <col min="3636" max="3636" width="50" style="264" customWidth="1"/>
    <col min="3637" max="3637" width="14" style="264" customWidth="1"/>
    <col min="3638" max="3638" width="11" style="264" customWidth="1"/>
    <col min="3639" max="3639" width="10.5703125" style="264" customWidth="1"/>
    <col min="3640" max="3640" width="13.5703125" style="264" customWidth="1"/>
    <col min="3641" max="3641" width="10.5703125" style="264" customWidth="1"/>
    <col min="3642" max="3642" width="13.140625" style="264" customWidth="1"/>
    <col min="3643" max="3643" width="15.5703125" style="264" customWidth="1"/>
    <col min="3644" max="3644" width="14.5703125" style="264" customWidth="1"/>
    <col min="3645" max="3645" width="9" style="264" customWidth="1"/>
    <col min="3646" max="3646" width="17.7109375" style="264" customWidth="1"/>
    <col min="3647" max="3877" width="9.140625" style="264"/>
    <col min="3878" max="3878" width="11.140625" style="264" customWidth="1"/>
    <col min="3879" max="3879" width="50.7109375" style="264" customWidth="1"/>
    <col min="3880" max="3880" width="6.85546875" style="264" customWidth="1"/>
    <col min="3881" max="3881" width="7.85546875" style="264" customWidth="1"/>
    <col min="3882" max="3882" width="15.85546875" style="264" customWidth="1"/>
    <col min="3883" max="3883" width="15.28515625" style="264" customWidth="1"/>
    <col min="3884" max="3884" width="17" style="264" customWidth="1"/>
    <col min="3885" max="3885" width="14" style="264" customWidth="1"/>
    <col min="3886" max="3886" width="12.28515625" style="264" customWidth="1"/>
    <col min="3887" max="3887" width="17.42578125" style="264" customWidth="1"/>
    <col min="3888" max="3888" width="14.140625" style="264" customWidth="1"/>
    <col min="3889" max="3889" width="15.42578125" style="264" customWidth="1"/>
    <col min="3890" max="3891" width="9.42578125" style="264" customWidth="1"/>
    <col min="3892" max="3892" width="50" style="264" customWidth="1"/>
    <col min="3893" max="3893" width="14" style="264" customWidth="1"/>
    <col min="3894" max="3894" width="11" style="264" customWidth="1"/>
    <col min="3895" max="3895" width="10.5703125" style="264" customWidth="1"/>
    <col min="3896" max="3896" width="13.5703125" style="264" customWidth="1"/>
    <col min="3897" max="3897" width="10.5703125" style="264" customWidth="1"/>
    <col min="3898" max="3898" width="13.140625" style="264" customWidth="1"/>
    <col min="3899" max="3899" width="15.5703125" style="264" customWidth="1"/>
    <col min="3900" max="3900" width="14.5703125" style="264" customWidth="1"/>
    <col min="3901" max="3901" width="9" style="264" customWidth="1"/>
    <col min="3902" max="3902" width="17.7109375" style="264" customWidth="1"/>
    <col min="3903" max="4133" width="9.140625" style="264"/>
    <col min="4134" max="4134" width="11.140625" style="264" customWidth="1"/>
    <col min="4135" max="4135" width="50.7109375" style="264" customWidth="1"/>
    <col min="4136" max="4136" width="6.85546875" style="264" customWidth="1"/>
    <col min="4137" max="4137" width="7.85546875" style="264" customWidth="1"/>
    <col min="4138" max="4138" width="15.85546875" style="264" customWidth="1"/>
    <col min="4139" max="4139" width="15.28515625" style="264" customWidth="1"/>
    <col min="4140" max="4140" width="17" style="264" customWidth="1"/>
    <col min="4141" max="4141" width="14" style="264" customWidth="1"/>
    <col min="4142" max="4142" width="12.28515625" style="264" customWidth="1"/>
    <col min="4143" max="4143" width="17.42578125" style="264" customWidth="1"/>
    <col min="4144" max="4144" width="14.140625" style="264" customWidth="1"/>
    <col min="4145" max="4145" width="15.42578125" style="264" customWidth="1"/>
    <col min="4146" max="4147" width="9.42578125" style="264" customWidth="1"/>
    <col min="4148" max="4148" width="50" style="264" customWidth="1"/>
    <col min="4149" max="4149" width="14" style="264" customWidth="1"/>
    <col min="4150" max="4150" width="11" style="264" customWidth="1"/>
    <col min="4151" max="4151" width="10.5703125" style="264" customWidth="1"/>
    <col min="4152" max="4152" width="13.5703125" style="264" customWidth="1"/>
    <col min="4153" max="4153" width="10.5703125" style="264" customWidth="1"/>
    <col min="4154" max="4154" width="13.140625" style="264" customWidth="1"/>
    <col min="4155" max="4155" width="15.5703125" style="264" customWidth="1"/>
    <col min="4156" max="4156" width="14.5703125" style="264" customWidth="1"/>
    <col min="4157" max="4157" width="9" style="264" customWidth="1"/>
    <col min="4158" max="4158" width="17.7109375" style="264" customWidth="1"/>
    <col min="4159" max="4389" width="9.140625" style="264"/>
    <col min="4390" max="4390" width="11.140625" style="264" customWidth="1"/>
    <col min="4391" max="4391" width="50.7109375" style="264" customWidth="1"/>
    <col min="4392" max="4392" width="6.85546875" style="264" customWidth="1"/>
    <col min="4393" max="4393" width="7.85546875" style="264" customWidth="1"/>
    <col min="4394" max="4394" width="15.85546875" style="264" customWidth="1"/>
    <col min="4395" max="4395" width="15.28515625" style="264" customWidth="1"/>
    <col min="4396" max="4396" width="17" style="264" customWidth="1"/>
    <col min="4397" max="4397" width="14" style="264" customWidth="1"/>
    <col min="4398" max="4398" width="12.28515625" style="264" customWidth="1"/>
    <col min="4399" max="4399" width="17.42578125" style="264" customWidth="1"/>
    <col min="4400" max="4400" width="14.140625" style="264" customWidth="1"/>
    <col min="4401" max="4401" width="15.42578125" style="264" customWidth="1"/>
    <col min="4402" max="4403" width="9.42578125" style="264" customWidth="1"/>
    <col min="4404" max="4404" width="50" style="264" customWidth="1"/>
    <col min="4405" max="4405" width="14" style="264" customWidth="1"/>
    <col min="4406" max="4406" width="11" style="264" customWidth="1"/>
    <col min="4407" max="4407" width="10.5703125" style="264" customWidth="1"/>
    <col min="4408" max="4408" width="13.5703125" style="264" customWidth="1"/>
    <col min="4409" max="4409" width="10.5703125" style="264" customWidth="1"/>
    <col min="4410" max="4410" width="13.140625" style="264" customWidth="1"/>
    <col min="4411" max="4411" width="15.5703125" style="264" customWidth="1"/>
    <col min="4412" max="4412" width="14.5703125" style="264" customWidth="1"/>
    <col min="4413" max="4413" width="9" style="264" customWidth="1"/>
    <col min="4414" max="4414" width="17.7109375" style="264" customWidth="1"/>
    <col min="4415" max="4645" width="9.140625" style="264"/>
    <col min="4646" max="4646" width="11.140625" style="264" customWidth="1"/>
    <col min="4647" max="4647" width="50.7109375" style="264" customWidth="1"/>
    <col min="4648" max="4648" width="6.85546875" style="264" customWidth="1"/>
    <col min="4649" max="4649" width="7.85546875" style="264" customWidth="1"/>
    <col min="4650" max="4650" width="15.85546875" style="264" customWidth="1"/>
    <col min="4651" max="4651" width="15.28515625" style="264" customWidth="1"/>
    <col min="4652" max="4652" width="17" style="264" customWidth="1"/>
    <col min="4653" max="4653" width="14" style="264" customWidth="1"/>
    <col min="4654" max="4654" width="12.28515625" style="264" customWidth="1"/>
    <col min="4655" max="4655" width="17.42578125" style="264" customWidth="1"/>
    <col min="4656" max="4656" width="14.140625" style="264" customWidth="1"/>
    <col min="4657" max="4657" width="15.42578125" style="264" customWidth="1"/>
    <col min="4658" max="4659" width="9.42578125" style="264" customWidth="1"/>
    <col min="4660" max="4660" width="50" style="264" customWidth="1"/>
    <col min="4661" max="4661" width="14" style="264" customWidth="1"/>
    <col min="4662" max="4662" width="11" style="264" customWidth="1"/>
    <col min="4663" max="4663" width="10.5703125" style="264" customWidth="1"/>
    <col min="4664" max="4664" width="13.5703125" style="264" customWidth="1"/>
    <col min="4665" max="4665" width="10.5703125" style="264" customWidth="1"/>
    <col min="4666" max="4666" width="13.140625" style="264" customWidth="1"/>
    <col min="4667" max="4667" width="15.5703125" style="264" customWidth="1"/>
    <col min="4668" max="4668" width="14.5703125" style="264" customWidth="1"/>
    <col min="4669" max="4669" width="9" style="264" customWidth="1"/>
    <col min="4670" max="4670" width="17.7109375" style="264" customWidth="1"/>
    <col min="4671" max="4901" width="9.140625" style="264"/>
    <col min="4902" max="4902" width="11.140625" style="264" customWidth="1"/>
    <col min="4903" max="4903" width="50.7109375" style="264" customWidth="1"/>
    <col min="4904" max="4904" width="6.85546875" style="264" customWidth="1"/>
    <col min="4905" max="4905" width="7.85546875" style="264" customWidth="1"/>
    <col min="4906" max="4906" width="15.85546875" style="264" customWidth="1"/>
    <col min="4907" max="4907" width="15.28515625" style="264" customWidth="1"/>
    <col min="4908" max="4908" width="17" style="264" customWidth="1"/>
    <col min="4909" max="4909" width="14" style="264" customWidth="1"/>
    <col min="4910" max="4910" width="12.28515625" style="264" customWidth="1"/>
    <col min="4911" max="4911" width="17.42578125" style="264" customWidth="1"/>
    <col min="4912" max="4912" width="14.140625" style="264" customWidth="1"/>
    <col min="4913" max="4913" width="15.42578125" style="264" customWidth="1"/>
    <col min="4914" max="4915" width="9.42578125" style="264" customWidth="1"/>
    <col min="4916" max="4916" width="50" style="264" customWidth="1"/>
    <col min="4917" max="4917" width="14" style="264" customWidth="1"/>
    <col min="4918" max="4918" width="11" style="264" customWidth="1"/>
    <col min="4919" max="4919" width="10.5703125" style="264" customWidth="1"/>
    <col min="4920" max="4920" width="13.5703125" style="264" customWidth="1"/>
    <col min="4921" max="4921" width="10.5703125" style="264" customWidth="1"/>
    <col min="4922" max="4922" width="13.140625" style="264" customWidth="1"/>
    <col min="4923" max="4923" width="15.5703125" style="264" customWidth="1"/>
    <col min="4924" max="4924" width="14.5703125" style="264" customWidth="1"/>
    <col min="4925" max="4925" width="9" style="264" customWidth="1"/>
    <col min="4926" max="4926" width="17.7109375" style="264" customWidth="1"/>
    <col min="4927" max="5157" width="9.140625" style="264"/>
    <col min="5158" max="5158" width="11.140625" style="264" customWidth="1"/>
    <col min="5159" max="5159" width="50.7109375" style="264" customWidth="1"/>
    <col min="5160" max="5160" width="6.85546875" style="264" customWidth="1"/>
    <col min="5161" max="5161" width="7.85546875" style="264" customWidth="1"/>
    <col min="5162" max="5162" width="15.85546875" style="264" customWidth="1"/>
    <col min="5163" max="5163" width="15.28515625" style="264" customWidth="1"/>
    <col min="5164" max="5164" width="17" style="264" customWidth="1"/>
    <col min="5165" max="5165" width="14" style="264" customWidth="1"/>
    <col min="5166" max="5166" width="12.28515625" style="264" customWidth="1"/>
    <col min="5167" max="5167" width="17.42578125" style="264" customWidth="1"/>
    <col min="5168" max="5168" width="14.140625" style="264" customWidth="1"/>
    <col min="5169" max="5169" width="15.42578125" style="264" customWidth="1"/>
    <col min="5170" max="5171" width="9.42578125" style="264" customWidth="1"/>
    <col min="5172" max="5172" width="50" style="264" customWidth="1"/>
    <col min="5173" max="5173" width="14" style="264" customWidth="1"/>
    <col min="5174" max="5174" width="11" style="264" customWidth="1"/>
    <col min="5175" max="5175" width="10.5703125" style="264" customWidth="1"/>
    <col min="5176" max="5176" width="13.5703125" style="264" customWidth="1"/>
    <col min="5177" max="5177" width="10.5703125" style="264" customWidth="1"/>
    <col min="5178" max="5178" width="13.140625" style="264" customWidth="1"/>
    <col min="5179" max="5179" width="15.5703125" style="264" customWidth="1"/>
    <col min="5180" max="5180" width="14.5703125" style="264" customWidth="1"/>
    <col min="5181" max="5181" width="9" style="264" customWidth="1"/>
    <col min="5182" max="5182" width="17.7109375" style="264" customWidth="1"/>
    <col min="5183" max="5413" width="9.140625" style="264"/>
    <col min="5414" max="5414" width="11.140625" style="264" customWidth="1"/>
    <col min="5415" max="5415" width="50.7109375" style="264" customWidth="1"/>
    <col min="5416" max="5416" width="6.85546875" style="264" customWidth="1"/>
    <col min="5417" max="5417" width="7.85546875" style="264" customWidth="1"/>
    <col min="5418" max="5418" width="15.85546875" style="264" customWidth="1"/>
    <col min="5419" max="5419" width="15.28515625" style="264" customWidth="1"/>
    <col min="5420" max="5420" width="17" style="264" customWidth="1"/>
    <col min="5421" max="5421" width="14" style="264" customWidth="1"/>
    <col min="5422" max="5422" width="12.28515625" style="264" customWidth="1"/>
    <col min="5423" max="5423" width="17.42578125" style="264" customWidth="1"/>
    <col min="5424" max="5424" width="14.140625" style="264" customWidth="1"/>
    <col min="5425" max="5425" width="15.42578125" style="264" customWidth="1"/>
    <col min="5426" max="5427" width="9.42578125" style="264" customWidth="1"/>
    <col min="5428" max="5428" width="50" style="264" customWidth="1"/>
    <col min="5429" max="5429" width="14" style="264" customWidth="1"/>
    <col min="5430" max="5430" width="11" style="264" customWidth="1"/>
    <col min="5431" max="5431" width="10.5703125" style="264" customWidth="1"/>
    <col min="5432" max="5432" width="13.5703125" style="264" customWidth="1"/>
    <col min="5433" max="5433" width="10.5703125" style="264" customWidth="1"/>
    <col min="5434" max="5434" width="13.140625" style="264" customWidth="1"/>
    <col min="5435" max="5435" width="15.5703125" style="264" customWidth="1"/>
    <col min="5436" max="5436" width="14.5703125" style="264" customWidth="1"/>
    <col min="5437" max="5437" width="9" style="264" customWidth="1"/>
    <col min="5438" max="5438" width="17.7109375" style="264" customWidth="1"/>
    <col min="5439" max="5669" width="9.140625" style="264"/>
    <col min="5670" max="5670" width="11.140625" style="264" customWidth="1"/>
    <col min="5671" max="5671" width="50.7109375" style="264" customWidth="1"/>
    <col min="5672" max="5672" width="6.85546875" style="264" customWidth="1"/>
    <col min="5673" max="5673" width="7.85546875" style="264" customWidth="1"/>
    <col min="5674" max="5674" width="15.85546875" style="264" customWidth="1"/>
    <col min="5675" max="5675" width="15.28515625" style="264" customWidth="1"/>
    <col min="5676" max="5676" width="17" style="264" customWidth="1"/>
    <col min="5677" max="5677" width="14" style="264" customWidth="1"/>
    <col min="5678" max="5678" width="12.28515625" style="264" customWidth="1"/>
    <col min="5679" max="5679" width="17.42578125" style="264" customWidth="1"/>
    <col min="5680" max="5680" width="14.140625" style="264" customWidth="1"/>
    <col min="5681" max="5681" width="15.42578125" style="264" customWidth="1"/>
    <col min="5682" max="5683" width="9.42578125" style="264" customWidth="1"/>
    <col min="5684" max="5684" width="50" style="264" customWidth="1"/>
    <col min="5685" max="5685" width="14" style="264" customWidth="1"/>
    <col min="5686" max="5686" width="11" style="264" customWidth="1"/>
    <col min="5687" max="5687" width="10.5703125" style="264" customWidth="1"/>
    <col min="5688" max="5688" width="13.5703125" style="264" customWidth="1"/>
    <col min="5689" max="5689" width="10.5703125" style="264" customWidth="1"/>
    <col min="5690" max="5690" width="13.140625" style="264" customWidth="1"/>
    <col min="5691" max="5691" width="15.5703125" style="264" customWidth="1"/>
    <col min="5692" max="5692" width="14.5703125" style="264" customWidth="1"/>
    <col min="5693" max="5693" width="9" style="264" customWidth="1"/>
    <col min="5694" max="5694" width="17.7109375" style="264" customWidth="1"/>
    <col min="5695" max="5925" width="9.140625" style="264"/>
    <col min="5926" max="5926" width="11.140625" style="264" customWidth="1"/>
    <col min="5927" max="5927" width="50.7109375" style="264" customWidth="1"/>
    <col min="5928" max="5928" width="6.85546875" style="264" customWidth="1"/>
    <col min="5929" max="5929" width="7.85546875" style="264" customWidth="1"/>
    <col min="5930" max="5930" width="15.85546875" style="264" customWidth="1"/>
    <col min="5931" max="5931" width="15.28515625" style="264" customWidth="1"/>
    <col min="5932" max="5932" width="17" style="264" customWidth="1"/>
    <col min="5933" max="5933" width="14" style="264" customWidth="1"/>
    <col min="5934" max="5934" width="12.28515625" style="264" customWidth="1"/>
    <col min="5935" max="5935" width="17.42578125" style="264" customWidth="1"/>
    <col min="5936" max="5936" width="14.140625" style="264" customWidth="1"/>
    <col min="5937" max="5937" width="15.42578125" style="264" customWidth="1"/>
    <col min="5938" max="5939" width="9.42578125" style="264" customWidth="1"/>
    <col min="5940" max="5940" width="50" style="264" customWidth="1"/>
    <col min="5941" max="5941" width="14" style="264" customWidth="1"/>
    <col min="5942" max="5942" width="11" style="264" customWidth="1"/>
    <col min="5943" max="5943" width="10.5703125" style="264" customWidth="1"/>
    <col min="5944" max="5944" width="13.5703125" style="264" customWidth="1"/>
    <col min="5945" max="5945" width="10.5703125" style="264" customWidth="1"/>
    <col min="5946" max="5946" width="13.140625" style="264" customWidth="1"/>
    <col min="5947" max="5947" width="15.5703125" style="264" customWidth="1"/>
    <col min="5948" max="5948" width="14.5703125" style="264" customWidth="1"/>
    <col min="5949" max="5949" width="9" style="264" customWidth="1"/>
    <col min="5950" max="5950" width="17.7109375" style="264" customWidth="1"/>
    <col min="5951" max="6181" width="9.140625" style="264"/>
    <col min="6182" max="6182" width="11.140625" style="264" customWidth="1"/>
    <col min="6183" max="6183" width="50.7109375" style="264" customWidth="1"/>
    <col min="6184" max="6184" width="6.85546875" style="264" customWidth="1"/>
    <col min="6185" max="6185" width="7.85546875" style="264" customWidth="1"/>
    <col min="6186" max="6186" width="15.85546875" style="264" customWidth="1"/>
    <col min="6187" max="6187" width="15.28515625" style="264" customWidth="1"/>
    <col min="6188" max="6188" width="17" style="264" customWidth="1"/>
    <col min="6189" max="6189" width="14" style="264" customWidth="1"/>
    <col min="6190" max="6190" width="12.28515625" style="264" customWidth="1"/>
    <col min="6191" max="6191" width="17.42578125" style="264" customWidth="1"/>
    <col min="6192" max="6192" width="14.140625" style="264" customWidth="1"/>
    <col min="6193" max="6193" width="15.42578125" style="264" customWidth="1"/>
    <col min="6194" max="6195" width="9.42578125" style="264" customWidth="1"/>
    <col min="6196" max="6196" width="50" style="264" customWidth="1"/>
    <col min="6197" max="6197" width="14" style="264" customWidth="1"/>
    <col min="6198" max="6198" width="11" style="264" customWidth="1"/>
    <col min="6199" max="6199" width="10.5703125" style="264" customWidth="1"/>
    <col min="6200" max="6200" width="13.5703125" style="264" customWidth="1"/>
    <col min="6201" max="6201" width="10.5703125" style="264" customWidth="1"/>
    <col min="6202" max="6202" width="13.140625" style="264" customWidth="1"/>
    <col min="6203" max="6203" width="15.5703125" style="264" customWidth="1"/>
    <col min="6204" max="6204" width="14.5703125" style="264" customWidth="1"/>
    <col min="6205" max="6205" width="9" style="264" customWidth="1"/>
    <col min="6206" max="6206" width="17.7109375" style="264" customWidth="1"/>
    <col min="6207" max="6437" width="9.140625" style="264"/>
    <col min="6438" max="6438" width="11.140625" style="264" customWidth="1"/>
    <col min="6439" max="6439" width="50.7109375" style="264" customWidth="1"/>
    <col min="6440" max="6440" width="6.85546875" style="264" customWidth="1"/>
    <col min="6441" max="6441" width="7.85546875" style="264" customWidth="1"/>
    <col min="6442" max="6442" width="15.85546875" style="264" customWidth="1"/>
    <col min="6443" max="6443" width="15.28515625" style="264" customWidth="1"/>
    <col min="6444" max="6444" width="17" style="264" customWidth="1"/>
    <col min="6445" max="6445" width="14" style="264" customWidth="1"/>
    <col min="6446" max="6446" width="12.28515625" style="264" customWidth="1"/>
    <col min="6447" max="6447" width="17.42578125" style="264" customWidth="1"/>
    <col min="6448" max="6448" width="14.140625" style="264" customWidth="1"/>
    <col min="6449" max="6449" width="15.42578125" style="264" customWidth="1"/>
    <col min="6450" max="6451" width="9.42578125" style="264" customWidth="1"/>
    <col min="6452" max="6452" width="50" style="264" customWidth="1"/>
    <col min="6453" max="6453" width="14" style="264" customWidth="1"/>
    <col min="6454" max="6454" width="11" style="264" customWidth="1"/>
    <col min="6455" max="6455" width="10.5703125" style="264" customWidth="1"/>
    <col min="6456" max="6456" width="13.5703125" style="264" customWidth="1"/>
    <col min="6457" max="6457" width="10.5703125" style="264" customWidth="1"/>
    <col min="6458" max="6458" width="13.140625" style="264" customWidth="1"/>
    <col min="6459" max="6459" width="15.5703125" style="264" customWidth="1"/>
    <col min="6460" max="6460" width="14.5703125" style="264" customWidth="1"/>
    <col min="6461" max="6461" width="9" style="264" customWidth="1"/>
    <col min="6462" max="6462" width="17.7109375" style="264" customWidth="1"/>
    <col min="6463" max="6693" width="9.140625" style="264"/>
    <col min="6694" max="6694" width="11.140625" style="264" customWidth="1"/>
    <col min="6695" max="6695" width="50.7109375" style="264" customWidth="1"/>
    <col min="6696" max="6696" width="6.85546875" style="264" customWidth="1"/>
    <col min="6697" max="6697" width="7.85546875" style="264" customWidth="1"/>
    <col min="6698" max="6698" width="15.85546875" style="264" customWidth="1"/>
    <col min="6699" max="6699" width="15.28515625" style="264" customWidth="1"/>
    <col min="6700" max="6700" width="17" style="264" customWidth="1"/>
    <col min="6701" max="6701" width="14" style="264" customWidth="1"/>
    <col min="6702" max="6702" width="12.28515625" style="264" customWidth="1"/>
    <col min="6703" max="6703" width="17.42578125" style="264" customWidth="1"/>
    <col min="6704" max="6704" width="14.140625" style="264" customWidth="1"/>
    <col min="6705" max="6705" width="15.42578125" style="264" customWidth="1"/>
    <col min="6706" max="6707" width="9.42578125" style="264" customWidth="1"/>
    <col min="6708" max="6708" width="50" style="264" customWidth="1"/>
    <col min="6709" max="6709" width="14" style="264" customWidth="1"/>
    <col min="6710" max="6710" width="11" style="264" customWidth="1"/>
    <col min="6711" max="6711" width="10.5703125" style="264" customWidth="1"/>
    <col min="6712" max="6712" width="13.5703125" style="264" customWidth="1"/>
    <col min="6713" max="6713" width="10.5703125" style="264" customWidth="1"/>
    <col min="6714" max="6714" width="13.140625" style="264" customWidth="1"/>
    <col min="6715" max="6715" width="15.5703125" style="264" customWidth="1"/>
    <col min="6716" max="6716" width="14.5703125" style="264" customWidth="1"/>
    <col min="6717" max="6717" width="9" style="264" customWidth="1"/>
    <col min="6718" max="6718" width="17.7109375" style="264" customWidth="1"/>
    <col min="6719" max="6949" width="9.140625" style="264"/>
    <col min="6950" max="6950" width="11.140625" style="264" customWidth="1"/>
    <col min="6951" max="6951" width="50.7109375" style="264" customWidth="1"/>
    <col min="6952" max="6952" width="6.85546875" style="264" customWidth="1"/>
    <col min="6953" max="6953" width="7.85546875" style="264" customWidth="1"/>
    <col min="6954" max="6954" width="15.85546875" style="264" customWidth="1"/>
    <col min="6955" max="6955" width="15.28515625" style="264" customWidth="1"/>
    <col min="6956" max="6956" width="17" style="264" customWidth="1"/>
    <col min="6957" max="6957" width="14" style="264" customWidth="1"/>
    <col min="6958" max="6958" width="12.28515625" style="264" customWidth="1"/>
    <col min="6959" max="6959" width="17.42578125" style="264" customWidth="1"/>
    <col min="6960" max="6960" width="14.140625" style="264" customWidth="1"/>
    <col min="6961" max="6961" width="15.42578125" style="264" customWidth="1"/>
    <col min="6962" max="6963" width="9.42578125" style="264" customWidth="1"/>
    <col min="6964" max="6964" width="50" style="264" customWidth="1"/>
    <col min="6965" max="6965" width="14" style="264" customWidth="1"/>
    <col min="6966" max="6966" width="11" style="264" customWidth="1"/>
    <col min="6967" max="6967" width="10.5703125" style="264" customWidth="1"/>
    <col min="6968" max="6968" width="13.5703125" style="264" customWidth="1"/>
    <col min="6969" max="6969" width="10.5703125" style="264" customWidth="1"/>
    <col min="6970" max="6970" width="13.140625" style="264" customWidth="1"/>
    <col min="6971" max="6971" width="15.5703125" style="264" customWidth="1"/>
    <col min="6972" max="6972" width="14.5703125" style="264" customWidth="1"/>
    <col min="6973" max="6973" width="9" style="264" customWidth="1"/>
    <col min="6974" max="6974" width="17.7109375" style="264" customWidth="1"/>
    <col min="6975" max="7205" width="9.140625" style="264"/>
    <col min="7206" max="7206" width="11.140625" style="264" customWidth="1"/>
    <col min="7207" max="7207" width="50.7109375" style="264" customWidth="1"/>
    <col min="7208" max="7208" width="6.85546875" style="264" customWidth="1"/>
    <col min="7209" max="7209" width="7.85546875" style="264" customWidth="1"/>
    <col min="7210" max="7210" width="15.85546875" style="264" customWidth="1"/>
    <col min="7211" max="7211" width="15.28515625" style="264" customWidth="1"/>
    <col min="7212" max="7212" width="17" style="264" customWidth="1"/>
    <col min="7213" max="7213" width="14" style="264" customWidth="1"/>
    <col min="7214" max="7214" width="12.28515625" style="264" customWidth="1"/>
    <col min="7215" max="7215" width="17.42578125" style="264" customWidth="1"/>
    <col min="7216" max="7216" width="14.140625" style="264" customWidth="1"/>
    <col min="7217" max="7217" width="15.42578125" style="264" customWidth="1"/>
    <col min="7218" max="7219" width="9.42578125" style="264" customWidth="1"/>
    <col min="7220" max="7220" width="50" style="264" customWidth="1"/>
    <col min="7221" max="7221" width="14" style="264" customWidth="1"/>
    <col min="7222" max="7222" width="11" style="264" customWidth="1"/>
    <col min="7223" max="7223" width="10.5703125" style="264" customWidth="1"/>
    <col min="7224" max="7224" width="13.5703125" style="264" customWidth="1"/>
    <col min="7225" max="7225" width="10.5703125" style="264" customWidth="1"/>
    <col min="7226" max="7226" width="13.140625" style="264" customWidth="1"/>
    <col min="7227" max="7227" width="15.5703125" style="264" customWidth="1"/>
    <col min="7228" max="7228" width="14.5703125" style="264" customWidth="1"/>
    <col min="7229" max="7229" width="9" style="264" customWidth="1"/>
    <col min="7230" max="7230" width="17.7109375" style="264" customWidth="1"/>
    <col min="7231" max="7461" width="9.140625" style="264"/>
    <col min="7462" max="7462" width="11.140625" style="264" customWidth="1"/>
    <col min="7463" max="7463" width="50.7109375" style="264" customWidth="1"/>
    <col min="7464" max="7464" width="6.85546875" style="264" customWidth="1"/>
    <col min="7465" max="7465" width="7.85546875" style="264" customWidth="1"/>
    <col min="7466" max="7466" width="15.85546875" style="264" customWidth="1"/>
    <col min="7467" max="7467" width="15.28515625" style="264" customWidth="1"/>
    <col min="7468" max="7468" width="17" style="264" customWidth="1"/>
    <col min="7469" max="7469" width="14" style="264" customWidth="1"/>
    <col min="7470" max="7470" width="12.28515625" style="264" customWidth="1"/>
    <col min="7471" max="7471" width="17.42578125" style="264" customWidth="1"/>
    <col min="7472" max="7472" width="14.140625" style="264" customWidth="1"/>
    <col min="7473" max="7473" width="15.42578125" style="264" customWidth="1"/>
    <col min="7474" max="7475" width="9.42578125" style="264" customWidth="1"/>
    <col min="7476" max="7476" width="50" style="264" customWidth="1"/>
    <col min="7477" max="7477" width="14" style="264" customWidth="1"/>
    <col min="7478" max="7478" width="11" style="264" customWidth="1"/>
    <col min="7479" max="7479" width="10.5703125" style="264" customWidth="1"/>
    <col min="7480" max="7480" width="13.5703125" style="264" customWidth="1"/>
    <col min="7481" max="7481" width="10.5703125" style="264" customWidth="1"/>
    <col min="7482" max="7482" width="13.140625" style="264" customWidth="1"/>
    <col min="7483" max="7483" width="15.5703125" style="264" customWidth="1"/>
    <col min="7484" max="7484" width="14.5703125" style="264" customWidth="1"/>
    <col min="7485" max="7485" width="9" style="264" customWidth="1"/>
    <col min="7486" max="7486" width="17.7109375" style="264" customWidth="1"/>
    <col min="7487" max="7717" width="9.140625" style="264"/>
    <col min="7718" max="7718" width="11.140625" style="264" customWidth="1"/>
    <col min="7719" max="7719" width="50.7109375" style="264" customWidth="1"/>
    <col min="7720" max="7720" width="6.85546875" style="264" customWidth="1"/>
    <col min="7721" max="7721" width="7.85546875" style="264" customWidth="1"/>
    <col min="7722" max="7722" width="15.85546875" style="264" customWidth="1"/>
    <col min="7723" max="7723" width="15.28515625" style="264" customWidth="1"/>
    <col min="7724" max="7724" width="17" style="264" customWidth="1"/>
    <col min="7725" max="7725" width="14" style="264" customWidth="1"/>
    <col min="7726" max="7726" width="12.28515625" style="264" customWidth="1"/>
    <col min="7727" max="7727" width="17.42578125" style="264" customWidth="1"/>
    <col min="7728" max="7728" width="14.140625" style="264" customWidth="1"/>
    <col min="7729" max="7729" width="15.42578125" style="264" customWidth="1"/>
    <col min="7730" max="7731" width="9.42578125" style="264" customWidth="1"/>
    <col min="7732" max="7732" width="50" style="264" customWidth="1"/>
    <col min="7733" max="7733" width="14" style="264" customWidth="1"/>
    <col min="7734" max="7734" width="11" style="264" customWidth="1"/>
    <col min="7735" max="7735" width="10.5703125" style="264" customWidth="1"/>
    <col min="7736" max="7736" width="13.5703125" style="264" customWidth="1"/>
    <col min="7737" max="7737" width="10.5703125" style="264" customWidth="1"/>
    <col min="7738" max="7738" width="13.140625" style="264" customWidth="1"/>
    <col min="7739" max="7739" width="15.5703125" style="264" customWidth="1"/>
    <col min="7740" max="7740" width="14.5703125" style="264" customWidth="1"/>
    <col min="7741" max="7741" width="9" style="264" customWidth="1"/>
    <col min="7742" max="7742" width="17.7109375" style="264" customWidth="1"/>
    <col min="7743" max="7973" width="9.140625" style="264"/>
    <col min="7974" max="7974" width="11.140625" style="264" customWidth="1"/>
    <col min="7975" max="7975" width="50.7109375" style="264" customWidth="1"/>
    <col min="7976" max="7976" width="6.85546875" style="264" customWidth="1"/>
    <col min="7977" max="7977" width="7.85546875" style="264" customWidth="1"/>
    <col min="7978" max="7978" width="15.85546875" style="264" customWidth="1"/>
    <col min="7979" max="7979" width="15.28515625" style="264" customWidth="1"/>
    <col min="7980" max="7980" width="17" style="264" customWidth="1"/>
    <col min="7981" max="7981" width="14" style="264" customWidth="1"/>
    <col min="7982" max="7982" width="12.28515625" style="264" customWidth="1"/>
    <col min="7983" max="7983" width="17.42578125" style="264" customWidth="1"/>
    <col min="7984" max="7984" width="14.140625" style="264" customWidth="1"/>
    <col min="7985" max="7985" width="15.42578125" style="264" customWidth="1"/>
    <col min="7986" max="7987" width="9.42578125" style="264" customWidth="1"/>
    <col min="7988" max="7988" width="50" style="264" customWidth="1"/>
    <col min="7989" max="7989" width="14" style="264" customWidth="1"/>
    <col min="7990" max="7990" width="11" style="264" customWidth="1"/>
    <col min="7991" max="7991" width="10.5703125" style="264" customWidth="1"/>
    <col min="7992" max="7992" width="13.5703125" style="264" customWidth="1"/>
    <col min="7993" max="7993" width="10.5703125" style="264" customWidth="1"/>
    <col min="7994" max="7994" width="13.140625" style="264" customWidth="1"/>
    <col min="7995" max="7995" width="15.5703125" style="264" customWidth="1"/>
    <col min="7996" max="7996" width="14.5703125" style="264" customWidth="1"/>
    <col min="7997" max="7997" width="9" style="264" customWidth="1"/>
    <col min="7998" max="7998" width="17.7109375" style="264" customWidth="1"/>
    <col min="7999" max="8229" width="9.140625" style="264"/>
    <col min="8230" max="8230" width="11.140625" style="264" customWidth="1"/>
    <col min="8231" max="8231" width="50.7109375" style="264" customWidth="1"/>
    <col min="8232" max="8232" width="6.85546875" style="264" customWidth="1"/>
    <col min="8233" max="8233" width="7.85546875" style="264" customWidth="1"/>
    <col min="8234" max="8234" width="15.85546875" style="264" customWidth="1"/>
    <col min="8235" max="8235" width="15.28515625" style="264" customWidth="1"/>
    <col min="8236" max="8236" width="17" style="264" customWidth="1"/>
    <col min="8237" max="8237" width="14" style="264" customWidth="1"/>
    <col min="8238" max="8238" width="12.28515625" style="264" customWidth="1"/>
    <col min="8239" max="8239" width="17.42578125" style="264" customWidth="1"/>
    <col min="8240" max="8240" width="14.140625" style="264" customWidth="1"/>
    <col min="8241" max="8241" width="15.42578125" style="264" customWidth="1"/>
    <col min="8242" max="8243" width="9.42578125" style="264" customWidth="1"/>
    <col min="8244" max="8244" width="50" style="264" customWidth="1"/>
    <col min="8245" max="8245" width="14" style="264" customWidth="1"/>
    <col min="8246" max="8246" width="11" style="264" customWidth="1"/>
    <col min="8247" max="8247" width="10.5703125" style="264" customWidth="1"/>
    <col min="8248" max="8248" width="13.5703125" style="264" customWidth="1"/>
    <col min="8249" max="8249" width="10.5703125" style="264" customWidth="1"/>
    <col min="8250" max="8250" width="13.140625" style="264" customWidth="1"/>
    <col min="8251" max="8251" width="15.5703125" style="264" customWidth="1"/>
    <col min="8252" max="8252" width="14.5703125" style="264" customWidth="1"/>
    <col min="8253" max="8253" width="9" style="264" customWidth="1"/>
    <col min="8254" max="8254" width="17.7109375" style="264" customWidth="1"/>
    <col min="8255" max="8485" width="9.140625" style="264"/>
    <col min="8486" max="8486" width="11.140625" style="264" customWidth="1"/>
    <col min="8487" max="8487" width="50.7109375" style="264" customWidth="1"/>
    <col min="8488" max="8488" width="6.85546875" style="264" customWidth="1"/>
    <col min="8489" max="8489" width="7.85546875" style="264" customWidth="1"/>
    <col min="8490" max="8490" width="15.85546875" style="264" customWidth="1"/>
    <col min="8491" max="8491" width="15.28515625" style="264" customWidth="1"/>
    <col min="8492" max="8492" width="17" style="264" customWidth="1"/>
    <col min="8493" max="8493" width="14" style="264" customWidth="1"/>
    <col min="8494" max="8494" width="12.28515625" style="264" customWidth="1"/>
    <col min="8495" max="8495" width="17.42578125" style="264" customWidth="1"/>
    <col min="8496" max="8496" width="14.140625" style="264" customWidth="1"/>
    <col min="8497" max="8497" width="15.42578125" style="264" customWidth="1"/>
    <col min="8498" max="8499" width="9.42578125" style="264" customWidth="1"/>
    <col min="8500" max="8500" width="50" style="264" customWidth="1"/>
    <col min="8501" max="8501" width="14" style="264" customWidth="1"/>
    <col min="8502" max="8502" width="11" style="264" customWidth="1"/>
    <col min="8503" max="8503" width="10.5703125" style="264" customWidth="1"/>
    <col min="8504" max="8504" width="13.5703125" style="264" customWidth="1"/>
    <col min="8505" max="8505" width="10.5703125" style="264" customWidth="1"/>
    <col min="8506" max="8506" width="13.140625" style="264" customWidth="1"/>
    <col min="8507" max="8507" width="15.5703125" style="264" customWidth="1"/>
    <col min="8508" max="8508" width="14.5703125" style="264" customWidth="1"/>
    <col min="8509" max="8509" width="9" style="264" customWidth="1"/>
    <col min="8510" max="8510" width="17.7109375" style="264" customWidth="1"/>
    <col min="8511" max="8741" width="9.140625" style="264"/>
    <col min="8742" max="8742" width="11.140625" style="264" customWidth="1"/>
    <col min="8743" max="8743" width="50.7109375" style="264" customWidth="1"/>
    <col min="8744" max="8744" width="6.85546875" style="264" customWidth="1"/>
    <col min="8745" max="8745" width="7.85546875" style="264" customWidth="1"/>
    <col min="8746" max="8746" width="15.85546875" style="264" customWidth="1"/>
    <col min="8747" max="8747" width="15.28515625" style="264" customWidth="1"/>
    <col min="8748" max="8748" width="17" style="264" customWidth="1"/>
    <col min="8749" max="8749" width="14" style="264" customWidth="1"/>
    <col min="8750" max="8750" width="12.28515625" style="264" customWidth="1"/>
    <col min="8751" max="8751" width="17.42578125" style="264" customWidth="1"/>
    <col min="8752" max="8752" width="14.140625" style="264" customWidth="1"/>
    <col min="8753" max="8753" width="15.42578125" style="264" customWidth="1"/>
    <col min="8754" max="8755" width="9.42578125" style="264" customWidth="1"/>
    <col min="8756" max="8756" width="50" style="264" customWidth="1"/>
    <col min="8757" max="8757" width="14" style="264" customWidth="1"/>
    <col min="8758" max="8758" width="11" style="264" customWidth="1"/>
    <col min="8759" max="8759" width="10.5703125" style="264" customWidth="1"/>
    <col min="8760" max="8760" width="13.5703125" style="264" customWidth="1"/>
    <col min="8761" max="8761" width="10.5703125" style="264" customWidth="1"/>
    <col min="8762" max="8762" width="13.140625" style="264" customWidth="1"/>
    <col min="8763" max="8763" width="15.5703125" style="264" customWidth="1"/>
    <col min="8764" max="8764" width="14.5703125" style="264" customWidth="1"/>
    <col min="8765" max="8765" width="9" style="264" customWidth="1"/>
    <col min="8766" max="8766" width="17.7109375" style="264" customWidth="1"/>
    <col min="8767" max="8997" width="9.140625" style="264"/>
    <col min="8998" max="8998" width="11.140625" style="264" customWidth="1"/>
    <col min="8999" max="8999" width="50.7109375" style="264" customWidth="1"/>
    <col min="9000" max="9000" width="6.85546875" style="264" customWidth="1"/>
    <col min="9001" max="9001" width="7.85546875" style="264" customWidth="1"/>
    <col min="9002" max="9002" width="15.85546875" style="264" customWidth="1"/>
    <col min="9003" max="9003" width="15.28515625" style="264" customWidth="1"/>
    <col min="9004" max="9004" width="17" style="264" customWidth="1"/>
    <col min="9005" max="9005" width="14" style="264" customWidth="1"/>
    <col min="9006" max="9006" width="12.28515625" style="264" customWidth="1"/>
    <col min="9007" max="9007" width="17.42578125" style="264" customWidth="1"/>
    <col min="9008" max="9008" width="14.140625" style="264" customWidth="1"/>
    <col min="9009" max="9009" width="15.42578125" style="264" customWidth="1"/>
    <col min="9010" max="9011" width="9.42578125" style="264" customWidth="1"/>
    <col min="9012" max="9012" width="50" style="264" customWidth="1"/>
    <col min="9013" max="9013" width="14" style="264" customWidth="1"/>
    <col min="9014" max="9014" width="11" style="264" customWidth="1"/>
    <col min="9015" max="9015" width="10.5703125" style="264" customWidth="1"/>
    <col min="9016" max="9016" width="13.5703125" style="264" customWidth="1"/>
    <col min="9017" max="9017" width="10.5703125" style="264" customWidth="1"/>
    <col min="9018" max="9018" width="13.140625" style="264" customWidth="1"/>
    <col min="9019" max="9019" width="15.5703125" style="264" customWidth="1"/>
    <col min="9020" max="9020" width="14.5703125" style="264" customWidth="1"/>
    <col min="9021" max="9021" width="9" style="264" customWidth="1"/>
    <col min="9022" max="9022" width="17.7109375" style="264" customWidth="1"/>
    <col min="9023" max="9253" width="9.140625" style="264"/>
    <col min="9254" max="9254" width="11.140625" style="264" customWidth="1"/>
    <col min="9255" max="9255" width="50.7109375" style="264" customWidth="1"/>
    <col min="9256" max="9256" width="6.85546875" style="264" customWidth="1"/>
    <col min="9257" max="9257" width="7.85546875" style="264" customWidth="1"/>
    <col min="9258" max="9258" width="15.85546875" style="264" customWidth="1"/>
    <col min="9259" max="9259" width="15.28515625" style="264" customWidth="1"/>
    <col min="9260" max="9260" width="17" style="264" customWidth="1"/>
    <col min="9261" max="9261" width="14" style="264" customWidth="1"/>
    <col min="9262" max="9262" width="12.28515625" style="264" customWidth="1"/>
    <col min="9263" max="9263" width="17.42578125" style="264" customWidth="1"/>
    <col min="9264" max="9264" width="14.140625" style="264" customWidth="1"/>
    <col min="9265" max="9265" width="15.42578125" style="264" customWidth="1"/>
    <col min="9266" max="9267" width="9.42578125" style="264" customWidth="1"/>
    <col min="9268" max="9268" width="50" style="264" customWidth="1"/>
    <col min="9269" max="9269" width="14" style="264" customWidth="1"/>
    <col min="9270" max="9270" width="11" style="264" customWidth="1"/>
    <col min="9271" max="9271" width="10.5703125" style="264" customWidth="1"/>
    <col min="9272" max="9272" width="13.5703125" style="264" customWidth="1"/>
    <col min="9273" max="9273" width="10.5703125" style="264" customWidth="1"/>
    <col min="9274" max="9274" width="13.140625" style="264" customWidth="1"/>
    <col min="9275" max="9275" width="15.5703125" style="264" customWidth="1"/>
    <col min="9276" max="9276" width="14.5703125" style="264" customWidth="1"/>
    <col min="9277" max="9277" width="9" style="264" customWidth="1"/>
    <col min="9278" max="9278" width="17.7109375" style="264" customWidth="1"/>
    <col min="9279" max="9509" width="9.140625" style="264"/>
    <col min="9510" max="9510" width="11.140625" style="264" customWidth="1"/>
    <col min="9511" max="9511" width="50.7109375" style="264" customWidth="1"/>
    <col min="9512" max="9512" width="6.85546875" style="264" customWidth="1"/>
    <col min="9513" max="9513" width="7.85546875" style="264" customWidth="1"/>
    <col min="9514" max="9514" width="15.85546875" style="264" customWidth="1"/>
    <col min="9515" max="9515" width="15.28515625" style="264" customWidth="1"/>
    <col min="9516" max="9516" width="17" style="264" customWidth="1"/>
    <col min="9517" max="9517" width="14" style="264" customWidth="1"/>
    <col min="9518" max="9518" width="12.28515625" style="264" customWidth="1"/>
    <col min="9519" max="9519" width="17.42578125" style="264" customWidth="1"/>
    <col min="9520" max="9520" width="14.140625" style="264" customWidth="1"/>
    <col min="9521" max="9521" width="15.42578125" style="264" customWidth="1"/>
    <col min="9522" max="9523" width="9.42578125" style="264" customWidth="1"/>
    <col min="9524" max="9524" width="50" style="264" customWidth="1"/>
    <col min="9525" max="9525" width="14" style="264" customWidth="1"/>
    <col min="9526" max="9526" width="11" style="264" customWidth="1"/>
    <col min="9527" max="9527" width="10.5703125" style="264" customWidth="1"/>
    <col min="9528" max="9528" width="13.5703125" style="264" customWidth="1"/>
    <col min="9529" max="9529" width="10.5703125" style="264" customWidth="1"/>
    <col min="9530" max="9530" width="13.140625" style="264" customWidth="1"/>
    <col min="9531" max="9531" width="15.5703125" style="264" customWidth="1"/>
    <col min="9532" max="9532" width="14.5703125" style="264" customWidth="1"/>
    <col min="9533" max="9533" width="9" style="264" customWidth="1"/>
    <col min="9534" max="9534" width="17.7109375" style="264" customWidth="1"/>
    <col min="9535" max="9765" width="9.140625" style="264"/>
    <col min="9766" max="9766" width="11.140625" style="264" customWidth="1"/>
    <col min="9767" max="9767" width="50.7109375" style="264" customWidth="1"/>
    <col min="9768" max="9768" width="6.85546875" style="264" customWidth="1"/>
    <col min="9769" max="9769" width="7.85546875" style="264" customWidth="1"/>
    <col min="9770" max="9770" width="15.85546875" style="264" customWidth="1"/>
    <col min="9771" max="9771" width="15.28515625" style="264" customWidth="1"/>
    <col min="9772" max="9772" width="17" style="264" customWidth="1"/>
    <col min="9773" max="9773" width="14" style="264" customWidth="1"/>
    <col min="9774" max="9774" width="12.28515625" style="264" customWidth="1"/>
    <col min="9775" max="9775" width="17.42578125" style="264" customWidth="1"/>
    <col min="9776" max="9776" width="14.140625" style="264" customWidth="1"/>
    <col min="9777" max="9777" width="15.42578125" style="264" customWidth="1"/>
    <col min="9778" max="9779" width="9.42578125" style="264" customWidth="1"/>
    <col min="9780" max="9780" width="50" style="264" customWidth="1"/>
    <col min="9781" max="9781" width="14" style="264" customWidth="1"/>
    <col min="9782" max="9782" width="11" style="264" customWidth="1"/>
    <col min="9783" max="9783" width="10.5703125" style="264" customWidth="1"/>
    <col min="9784" max="9784" width="13.5703125" style="264" customWidth="1"/>
    <col min="9785" max="9785" width="10.5703125" style="264" customWidth="1"/>
    <col min="9786" max="9786" width="13.140625" style="264" customWidth="1"/>
    <col min="9787" max="9787" width="15.5703125" style="264" customWidth="1"/>
    <col min="9788" max="9788" width="14.5703125" style="264" customWidth="1"/>
    <col min="9789" max="9789" width="9" style="264" customWidth="1"/>
    <col min="9790" max="9790" width="17.7109375" style="264" customWidth="1"/>
    <col min="9791" max="10021" width="9.140625" style="264"/>
    <col min="10022" max="10022" width="11.140625" style="264" customWidth="1"/>
    <col min="10023" max="10023" width="50.7109375" style="264" customWidth="1"/>
    <col min="10024" max="10024" width="6.85546875" style="264" customWidth="1"/>
    <col min="10025" max="10025" width="7.85546875" style="264" customWidth="1"/>
    <col min="10026" max="10026" width="15.85546875" style="264" customWidth="1"/>
    <col min="10027" max="10027" width="15.28515625" style="264" customWidth="1"/>
    <col min="10028" max="10028" width="17" style="264" customWidth="1"/>
    <col min="10029" max="10029" width="14" style="264" customWidth="1"/>
    <col min="10030" max="10030" width="12.28515625" style="264" customWidth="1"/>
    <col min="10031" max="10031" width="17.42578125" style="264" customWidth="1"/>
    <col min="10032" max="10032" width="14.140625" style="264" customWidth="1"/>
    <col min="10033" max="10033" width="15.42578125" style="264" customWidth="1"/>
    <col min="10034" max="10035" width="9.42578125" style="264" customWidth="1"/>
    <col min="10036" max="10036" width="50" style="264" customWidth="1"/>
    <col min="10037" max="10037" width="14" style="264" customWidth="1"/>
    <col min="10038" max="10038" width="11" style="264" customWidth="1"/>
    <col min="10039" max="10039" width="10.5703125" style="264" customWidth="1"/>
    <col min="10040" max="10040" width="13.5703125" style="264" customWidth="1"/>
    <col min="10041" max="10041" width="10.5703125" style="264" customWidth="1"/>
    <col min="10042" max="10042" width="13.140625" style="264" customWidth="1"/>
    <col min="10043" max="10043" width="15.5703125" style="264" customWidth="1"/>
    <col min="10044" max="10044" width="14.5703125" style="264" customWidth="1"/>
    <col min="10045" max="10045" width="9" style="264" customWidth="1"/>
    <col min="10046" max="10046" width="17.7109375" style="264" customWidth="1"/>
    <col min="10047" max="10277" width="9.140625" style="264"/>
    <col min="10278" max="10278" width="11.140625" style="264" customWidth="1"/>
    <col min="10279" max="10279" width="50.7109375" style="264" customWidth="1"/>
    <col min="10280" max="10280" width="6.85546875" style="264" customWidth="1"/>
    <col min="10281" max="10281" width="7.85546875" style="264" customWidth="1"/>
    <col min="10282" max="10282" width="15.85546875" style="264" customWidth="1"/>
    <col min="10283" max="10283" width="15.28515625" style="264" customWidth="1"/>
    <col min="10284" max="10284" width="17" style="264" customWidth="1"/>
    <col min="10285" max="10285" width="14" style="264" customWidth="1"/>
    <col min="10286" max="10286" width="12.28515625" style="264" customWidth="1"/>
    <col min="10287" max="10287" width="17.42578125" style="264" customWidth="1"/>
    <col min="10288" max="10288" width="14.140625" style="264" customWidth="1"/>
    <col min="10289" max="10289" width="15.42578125" style="264" customWidth="1"/>
    <col min="10290" max="10291" width="9.42578125" style="264" customWidth="1"/>
    <col min="10292" max="10292" width="50" style="264" customWidth="1"/>
    <col min="10293" max="10293" width="14" style="264" customWidth="1"/>
    <col min="10294" max="10294" width="11" style="264" customWidth="1"/>
    <col min="10295" max="10295" width="10.5703125" style="264" customWidth="1"/>
    <col min="10296" max="10296" width="13.5703125" style="264" customWidth="1"/>
    <col min="10297" max="10297" width="10.5703125" style="264" customWidth="1"/>
    <col min="10298" max="10298" width="13.140625" style="264" customWidth="1"/>
    <col min="10299" max="10299" width="15.5703125" style="264" customWidth="1"/>
    <col min="10300" max="10300" width="14.5703125" style="264" customWidth="1"/>
    <col min="10301" max="10301" width="9" style="264" customWidth="1"/>
    <col min="10302" max="10302" width="17.7109375" style="264" customWidth="1"/>
    <col min="10303" max="10533" width="9.140625" style="264"/>
    <col min="10534" max="10534" width="11.140625" style="264" customWidth="1"/>
    <col min="10535" max="10535" width="50.7109375" style="264" customWidth="1"/>
    <col min="10536" max="10536" width="6.85546875" style="264" customWidth="1"/>
    <col min="10537" max="10537" width="7.85546875" style="264" customWidth="1"/>
    <col min="10538" max="10538" width="15.85546875" style="264" customWidth="1"/>
    <col min="10539" max="10539" width="15.28515625" style="264" customWidth="1"/>
    <col min="10540" max="10540" width="17" style="264" customWidth="1"/>
    <col min="10541" max="10541" width="14" style="264" customWidth="1"/>
    <col min="10542" max="10542" width="12.28515625" style="264" customWidth="1"/>
    <col min="10543" max="10543" width="17.42578125" style="264" customWidth="1"/>
    <col min="10544" max="10544" width="14.140625" style="264" customWidth="1"/>
    <col min="10545" max="10545" width="15.42578125" style="264" customWidth="1"/>
    <col min="10546" max="10547" width="9.42578125" style="264" customWidth="1"/>
    <col min="10548" max="10548" width="50" style="264" customWidth="1"/>
    <col min="10549" max="10549" width="14" style="264" customWidth="1"/>
    <col min="10550" max="10550" width="11" style="264" customWidth="1"/>
    <col min="10551" max="10551" width="10.5703125" style="264" customWidth="1"/>
    <col min="10552" max="10552" width="13.5703125" style="264" customWidth="1"/>
    <col min="10553" max="10553" width="10.5703125" style="264" customWidth="1"/>
    <col min="10554" max="10554" width="13.140625" style="264" customWidth="1"/>
    <col min="10555" max="10555" width="15.5703125" style="264" customWidth="1"/>
    <col min="10556" max="10556" width="14.5703125" style="264" customWidth="1"/>
    <col min="10557" max="10557" width="9" style="264" customWidth="1"/>
    <col min="10558" max="10558" width="17.7109375" style="264" customWidth="1"/>
    <col min="10559" max="10789" width="9.140625" style="264"/>
    <col min="10790" max="10790" width="11.140625" style="264" customWidth="1"/>
    <col min="10791" max="10791" width="50.7109375" style="264" customWidth="1"/>
    <col min="10792" max="10792" width="6.85546875" style="264" customWidth="1"/>
    <col min="10793" max="10793" width="7.85546875" style="264" customWidth="1"/>
    <col min="10794" max="10794" width="15.85546875" style="264" customWidth="1"/>
    <col min="10795" max="10795" width="15.28515625" style="264" customWidth="1"/>
    <col min="10796" max="10796" width="17" style="264" customWidth="1"/>
    <col min="10797" max="10797" width="14" style="264" customWidth="1"/>
    <col min="10798" max="10798" width="12.28515625" style="264" customWidth="1"/>
    <col min="10799" max="10799" width="17.42578125" style="264" customWidth="1"/>
    <col min="10800" max="10800" width="14.140625" style="264" customWidth="1"/>
    <col min="10801" max="10801" width="15.42578125" style="264" customWidth="1"/>
    <col min="10802" max="10803" width="9.42578125" style="264" customWidth="1"/>
    <col min="10804" max="10804" width="50" style="264" customWidth="1"/>
    <col min="10805" max="10805" width="14" style="264" customWidth="1"/>
    <col min="10806" max="10806" width="11" style="264" customWidth="1"/>
    <col min="10807" max="10807" width="10.5703125" style="264" customWidth="1"/>
    <col min="10808" max="10808" width="13.5703125" style="264" customWidth="1"/>
    <col min="10809" max="10809" width="10.5703125" style="264" customWidth="1"/>
    <col min="10810" max="10810" width="13.140625" style="264" customWidth="1"/>
    <col min="10811" max="10811" width="15.5703125" style="264" customWidth="1"/>
    <col min="10812" max="10812" width="14.5703125" style="264" customWidth="1"/>
    <col min="10813" max="10813" width="9" style="264" customWidth="1"/>
    <col min="10814" max="10814" width="17.7109375" style="264" customWidth="1"/>
    <col min="10815" max="11045" width="9.140625" style="264"/>
    <col min="11046" max="11046" width="11.140625" style="264" customWidth="1"/>
    <col min="11047" max="11047" width="50.7109375" style="264" customWidth="1"/>
    <col min="11048" max="11048" width="6.85546875" style="264" customWidth="1"/>
    <col min="11049" max="11049" width="7.85546875" style="264" customWidth="1"/>
    <col min="11050" max="11050" width="15.85546875" style="264" customWidth="1"/>
    <col min="11051" max="11051" width="15.28515625" style="264" customWidth="1"/>
    <col min="11052" max="11052" width="17" style="264" customWidth="1"/>
    <col min="11053" max="11053" width="14" style="264" customWidth="1"/>
    <col min="11054" max="11054" width="12.28515625" style="264" customWidth="1"/>
    <col min="11055" max="11055" width="17.42578125" style="264" customWidth="1"/>
    <col min="11056" max="11056" width="14.140625" style="264" customWidth="1"/>
    <col min="11057" max="11057" width="15.42578125" style="264" customWidth="1"/>
    <col min="11058" max="11059" width="9.42578125" style="264" customWidth="1"/>
    <col min="11060" max="11060" width="50" style="264" customWidth="1"/>
    <col min="11061" max="11061" width="14" style="264" customWidth="1"/>
    <col min="11062" max="11062" width="11" style="264" customWidth="1"/>
    <col min="11063" max="11063" width="10.5703125" style="264" customWidth="1"/>
    <col min="11064" max="11064" width="13.5703125" style="264" customWidth="1"/>
    <col min="11065" max="11065" width="10.5703125" style="264" customWidth="1"/>
    <col min="11066" max="11066" width="13.140625" style="264" customWidth="1"/>
    <col min="11067" max="11067" width="15.5703125" style="264" customWidth="1"/>
    <col min="11068" max="11068" width="14.5703125" style="264" customWidth="1"/>
    <col min="11069" max="11069" width="9" style="264" customWidth="1"/>
    <col min="11070" max="11070" width="17.7109375" style="264" customWidth="1"/>
    <col min="11071" max="11301" width="9.140625" style="264"/>
    <col min="11302" max="11302" width="11.140625" style="264" customWidth="1"/>
    <col min="11303" max="11303" width="50.7109375" style="264" customWidth="1"/>
    <col min="11304" max="11304" width="6.85546875" style="264" customWidth="1"/>
    <col min="11305" max="11305" width="7.85546875" style="264" customWidth="1"/>
    <col min="11306" max="11306" width="15.85546875" style="264" customWidth="1"/>
    <col min="11307" max="11307" width="15.28515625" style="264" customWidth="1"/>
    <col min="11308" max="11308" width="17" style="264" customWidth="1"/>
    <col min="11309" max="11309" width="14" style="264" customWidth="1"/>
    <col min="11310" max="11310" width="12.28515625" style="264" customWidth="1"/>
    <col min="11311" max="11311" width="17.42578125" style="264" customWidth="1"/>
    <col min="11312" max="11312" width="14.140625" style="264" customWidth="1"/>
    <col min="11313" max="11313" width="15.42578125" style="264" customWidth="1"/>
    <col min="11314" max="11315" width="9.42578125" style="264" customWidth="1"/>
    <col min="11316" max="11316" width="50" style="264" customWidth="1"/>
    <col min="11317" max="11317" width="14" style="264" customWidth="1"/>
    <col min="11318" max="11318" width="11" style="264" customWidth="1"/>
    <col min="11319" max="11319" width="10.5703125" style="264" customWidth="1"/>
    <col min="11320" max="11320" width="13.5703125" style="264" customWidth="1"/>
    <col min="11321" max="11321" width="10.5703125" style="264" customWidth="1"/>
    <col min="11322" max="11322" width="13.140625" style="264" customWidth="1"/>
    <col min="11323" max="11323" width="15.5703125" style="264" customWidth="1"/>
    <col min="11324" max="11324" width="14.5703125" style="264" customWidth="1"/>
    <col min="11325" max="11325" width="9" style="264" customWidth="1"/>
    <col min="11326" max="11326" width="17.7109375" style="264" customWidth="1"/>
    <col min="11327" max="11557" width="9.140625" style="264"/>
    <col min="11558" max="11558" width="11.140625" style="264" customWidth="1"/>
    <col min="11559" max="11559" width="50.7109375" style="264" customWidth="1"/>
    <col min="11560" max="11560" width="6.85546875" style="264" customWidth="1"/>
    <col min="11561" max="11561" width="7.85546875" style="264" customWidth="1"/>
    <col min="11562" max="11562" width="15.85546875" style="264" customWidth="1"/>
    <col min="11563" max="11563" width="15.28515625" style="264" customWidth="1"/>
    <col min="11564" max="11564" width="17" style="264" customWidth="1"/>
    <col min="11565" max="11565" width="14" style="264" customWidth="1"/>
    <col min="11566" max="11566" width="12.28515625" style="264" customWidth="1"/>
    <col min="11567" max="11567" width="17.42578125" style="264" customWidth="1"/>
    <col min="11568" max="11568" width="14.140625" style="264" customWidth="1"/>
    <col min="11569" max="11569" width="15.42578125" style="264" customWidth="1"/>
    <col min="11570" max="11571" width="9.42578125" style="264" customWidth="1"/>
    <col min="11572" max="11572" width="50" style="264" customWidth="1"/>
    <col min="11573" max="11573" width="14" style="264" customWidth="1"/>
    <col min="11574" max="11574" width="11" style="264" customWidth="1"/>
    <col min="11575" max="11575" width="10.5703125" style="264" customWidth="1"/>
    <col min="11576" max="11576" width="13.5703125" style="264" customWidth="1"/>
    <col min="11577" max="11577" width="10.5703125" style="264" customWidth="1"/>
    <col min="11578" max="11578" width="13.140625" style="264" customWidth="1"/>
    <col min="11579" max="11579" width="15.5703125" style="264" customWidth="1"/>
    <col min="11580" max="11580" width="14.5703125" style="264" customWidth="1"/>
    <col min="11581" max="11581" width="9" style="264" customWidth="1"/>
    <col min="11582" max="11582" width="17.7109375" style="264" customWidth="1"/>
    <col min="11583" max="11813" width="9.140625" style="264"/>
    <col min="11814" max="11814" width="11.140625" style="264" customWidth="1"/>
    <col min="11815" max="11815" width="50.7109375" style="264" customWidth="1"/>
    <col min="11816" max="11816" width="6.85546875" style="264" customWidth="1"/>
    <col min="11817" max="11817" width="7.85546875" style="264" customWidth="1"/>
    <col min="11818" max="11818" width="15.85546875" style="264" customWidth="1"/>
    <col min="11819" max="11819" width="15.28515625" style="264" customWidth="1"/>
    <col min="11820" max="11820" width="17" style="264" customWidth="1"/>
    <col min="11821" max="11821" width="14" style="264" customWidth="1"/>
    <col min="11822" max="11822" width="12.28515625" style="264" customWidth="1"/>
    <col min="11823" max="11823" width="17.42578125" style="264" customWidth="1"/>
    <col min="11824" max="11824" width="14.140625" style="264" customWidth="1"/>
    <col min="11825" max="11825" width="15.42578125" style="264" customWidth="1"/>
    <col min="11826" max="11827" width="9.42578125" style="264" customWidth="1"/>
    <col min="11828" max="11828" width="50" style="264" customWidth="1"/>
    <col min="11829" max="11829" width="14" style="264" customWidth="1"/>
    <col min="11830" max="11830" width="11" style="264" customWidth="1"/>
    <col min="11831" max="11831" width="10.5703125" style="264" customWidth="1"/>
    <col min="11832" max="11832" width="13.5703125" style="264" customWidth="1"/>
    <col min="11833" max="11833" width="10.5703125" style="264" customWidth="1"/>
    <col min="11834" max="11834" width="13.140625" style="264" customWidth="1"/>
    <col min="11835" max="11835" width="15.5703125" style="264" customWidth="1"/>
    <col min="11836" max="11836" width="14.5703125" style="264" customWidth="1"/>
    <col min="11837" max="11837" width="9" style="264" customWidth="1"/>
    <col min="11838" max="11838" width="17.7109375" style="264" customWidth="1"/>
    <col min="11839" max="12069" width="9.140625" style="264"/>
    <col min="12070" max="12070" width="11.140625" style="264" customWidth="1"/>
    <col min="12071" max="12071" width="50.7109375" style="264" customWidth="1"/>
    <col min="12072" max="12072" width="6.85546875" style="264" customWidth="1"/>
    <col min="12073" max="12073" width="7.85546875" style="264" customWidth="1"/>
    <col min="12074" max="12074" width="15.85546875" style="264" customWidth="1"/>
    <col min="12075" max="12075" width="15.28515625" style="264" customWidth="1"/>
    <col min="12076" max="12076" width="17" style="264" customWidth="1"/>
    <col min="12077" max="12077" width="14" style="264" customWidth="1"/>
    <col min="12078" max="12078" width="12.28515625" style="264" customWidth="1"/>
    <col min="12079" max="12079" width="17.42578125" style="264" customWidth="1"/>
    <col min="12080" max="12080" width="14.140625" style="264" customWidth="1"/>
    <col min="12081" max="12081" width="15.42578125" style="264" customWidth="1"/>
    <col min="12082" max="12083" width="9.42578125" style="264" customWidth="1"/>
    <col min="12084" max="12084" width="50" style="264" customWidth="1"/>
    <col min="12085" max="12085" width="14" style="264" customWidth="1"/>
    <col min="12086" max="12086" width="11" style="264" customWidth="1"/>
    <col min="12087" max="12087" width="10.5703125" style="264" customWidth="1"/>
    <col min="12088" max="12088" width="13.5703125" style="264" customWidth="1"/>
    <col min="12089" max="12089" width="10.5703125" style="264" customWidth="1"/>
    <col min="12090" max="12090" width="13.140625" style="264" customWidth="1"/>
    <col min="12091" max="12091" width="15.5703125" style="264" customWidth="1"/>
    <col min="12092" max="12092" width="14.5703125" style="264" customWidth="1"/>
    <col min="12093" max="12093" width="9" style="264" customWidth="1"/>
    <col min="12094" max="12094" width="17.7109375" style="264" customWidth="1"/>
    <col min="12095" max="12325" width="9.140625" style="264"/>
    <col min="12326" max="12326" width="11.140625" style="264" customWidth="1"/>
    <col min="12327" max="12327" width="50.7109375" style="264" customWidth="1"/>
    <col min="12328" max="12328" width="6.85546875" style="264" customWidth="1"/>
    <col min="12329" max="12329" width="7.85546875" style="264" customWidth="1"/>
    <col min="12330" max="12330" width="15.85546875" style="264" customWidth="1"/>
    <col min="12331" max="12331" width="15.28515625" style="264" customWidth="1"/>
    <col min="12332" max="12332" width="17" style="264" customWidth="1"/>
    <col min="12333" max="12333" width="14" style="264" customWidth="1"/>
    <col min="12334" max="12334" width="12.28515625" style="264" customWidth="1"/>
    <col min="12335" max="12335" width="17.42578125" style="264" customWidth="1"/>
    <col min="12336" max="12336" width="14.140625" style="264" customWidth="1"/>
    <col min="12337" max="12337" width="15.42578125" style="264" customWidth="1"/>
    <col min="12338" max="12339" width="9.42578125" style="264" customWidth="1"/>
    <col min="12340" max="12340" width="50" style="264" customWidth="1"/>
    <col min="12341" max="12341" width="14" style="264" customWidth="1"/>
    <col min="12342" max="12342" width="11" style="264" customWidth="1"/>
    <col min="12343" max="12343" width="10.5703125" style="264" customWidth="1"/>
    <col min="12344" max="12344" width="13.5703125" style="264" customWidth="1"/>
    <col min="12345" max="12345" width="10.5703125" style="264" customWidth="1"/>
    <col min="12346" max="12346" width="13.140625" style="264" customWidth="1"/>
    <col min="12347" max="12347" width="15.5703125" style="264" customWidth="1"/>
    <col min="12348" max="12348" width="14.5703125" style="264" customWidth="1"/>
    <col min="12349" max="12349" width="9" style="264" customWidth="1"/>
    <col min="12350" max="12350" width="17.7109375" style="264" customWidth="1"/>
    <col min="12351" max="12581" width="9.140625" style="264"/>
    <col min="12582" max="12582" width="11.140625" style="264" customWidth="1"/>
    <col min="12583" max="12583" width="50.7109375" style="264" customWidth="1"/>
    <col min="12584" max="12584" width="6.85546875" style="264" customWidth="1"/>
    <col min="12585" max="12585" width="7.85546875" style="264" customWidth="1"/>
    <col min="12586" max="12586" width="15.85546875" style="264" customWidth="1"/>
    <col min="12587" max="12587" width="15.28515625" style="264" customWidth="1"/>
    <col min="12588" max="12588" width="17" style="264" customWidth="1"/>
    <col min="12589" max="12589" width="14" style="264" customWidth="1"/>
    <col min="12590" max="12590" width="12.28515625" style="264" customWidth="1"/>
    <col min="12591" max="12591" width="17.42578125" style="264" customWidth="1"/>
    <col min="12592" max="12592" width="14.140625" style="264" customWidth="1"/>
    <col min="12593" max="12593" width="15.42578125" style="264" customWidth="1"/>
    <col min="12594" max="12595" width="9.42578125" style="264" customWidth="1"/>
    <col min="12596" max="12596" width="50" style="264" customWidth="1"/>
    <col min="12597" max="12597" width="14" style="264" customWidth="1"/>
    <col min="12598" max="12598" width="11" style="264" customWidth="1"/>
    <col min="12599" max="12599" width="10.5703125" style="264" customWidth="1"/>
    <col min="12600" max="12600" width="13.5703125" style="264" customWidth="1"/>
    <col min="12601" max="12601" width="10.5703125" style="264" customWidth="1"/>
    <col min="12602" max="12602" width="13.140625" style="264" customWidth="1"/>
    <col min="12603" max="12603" width="15.5703125" style="264" customWidth="1"/>
    <col min="12604" max="12604" width="14.5703125" style="264" customWidth="1"/>
    <col min="12605" max="12605" width="9" style="264" customWidth="1"/>
    <col min="12606" max="12606" width="17.7109375" style="264" customWidth="1"/>
    <col min="12607" max="12837" width="9.140625" style="264"/>
    <col min="12838" max="12838" width="11.140625" style="264" customWidth="1"/>
    <col min="12839" max="12839" width="50.7109375" style="264" customWidth="1"/>
    <col min="12840" max="12840" width="6.85546875" style="264" customWidth="1"/>
    <col min="12841" max="12841" width="7.85546875" style="264" customWidth="1"/>
    <col min="12842" max="12842" width="15.85546875" style="264" customWidth="1"/>
    <col min="12843" max="12843" width="15.28515625" style="264" customWidth="1"/>
    <col min="12844" max="12844" width="17" style="264" customWidth="1"/>
    <col min="12845" max="12845" width="14" style="264" customWidth="1"/>
    <col min="12846" max="12846" width="12.28515625" style="264" customWidth="1"/>
    <col min="12847" max="12847" width="17.42578125" style="264" customWidth="1"/>
    <col min="12848" max="12848" width="14.140625" style="264" customWidth="1"/>
    <col min="12849" max="12849" width="15.42578125" style="264" customWidth="1"/>
    <col min="12850" max="12851" width="9.42578125" style="264" customWidth="1"/>
    <col min="12852" max="12852" width="50" style="264" customWidth="1"/>
    <col min="12853" max="12853" width="14" style="264" customWidth="1"/>
    <col min="12854" max="12854" width="11" style="264" customWidth="1"/>
    <col min="12855" max="12855" width="10.5703125" style="264" customWidth="1"/>
    <col min="12856" max="12856" width="13.5703125" style="264" customWidth="1"/>
    <col min="12857" max="12857" width="10.5703125" style="264" customWidth="1"/>
    <col min="12858" max="12858" width="13.140625" style="264" customWidth="1"/>
    <col min="12859" max="12859" width="15.5703125" style="264" customWidth="1"/>
    <col min="12860" max="12860" width="14.5703125" style="264" customWidth="1"/>
    <col min="12861" max="12861" width="9" style="264" customWidth="1"/>
    <col min="12862" max="12862" width="17.7109375" style="264" customWidth="1"/>
    <col min="12863" max="13093" width="9.140625" style="264"/>
    <col min="13094" max="13094" width="11.140625" style="264" customWidth="1"/>
    <col min="13095" max="13095" width="50.7109375" style="264" customWidth="1"/>
    <col min="13096" max="13096" width="6.85546875" style="264" customWidth="1"/>
    <col min="13097" max="13097" width="7.85546875" style="264" customWidth="1"/>
    <col min="13098" max="13098" width="15.85546875" style="264" customWidth="1"/>
    <col min="13099" max="13099" width="15.28515625" style="264" customWidth="1"/>
    <col min="13100" max="13100" width="17" style="264" customWidth="1"/>
    <col min="13101" max="13101" width="14" style="264" customWidth="1"/>
    <col min="13102" max="13102" width="12.28515625" style="264" customWidth="1"/>
    <col min="13103" max="13103" width="17.42578125" style="264" customWidth="1"/>
    <col min="13104" max="13104" width="14.140625" style="264" customWidth="1"/>
    <col min="13105" max="13105" width="15.42578125" style="264" customWidth="1"/>
    <col min="13106" max="13107" width="9.42578125" style="264" customWidth="1"/>
    <col min="13108" max="13108" width="50" style="264" customWidth="1"/>
    <col min="13109" max="13109" width="14" style="264" customWidth="1"/>
    <col min="13110" max="13110" width="11" style="264" customWidth="1"/>
    <col min="13111" max="13111" width="10.5703125" style="264" customWidth="1"/>
    <col min="13112" max="13112" width="13.5703125" style="264" customWidth="1"/>
    <col min="13113" max="13113" width="10.5703125" style="264" customWidth="1"/>
    <col min="13114" max="13114" width="13.140625" style="264" customWidth="1"/>
    <col min="13115" max="13115" width="15.5703125" style="264" customWidth="1"/>
    <col min="13116" max="13116" width="14.5703125" style="264" customWidth="1"/>
    <col min="13117" max="13117" width="9" style="264" customWidth="1"/>
    <col min="13118" max="13118" width="17.7109375" style="264" customWidth="1"/>
    <col min="13119" max="13349" width="9.140625" style="264"/>
    <col min="13350" max="13350" width="11.140625" style="264" customWidth="1"/>
    <col min="13351" max="13351" width="50.7109375" style="264" customWidth="1"/>
    <col min="13352" max="13352" width="6.85546875" style="264" customWidth="1"/>
    <col min="13353" max="13353" width="7.85546875" style="264" customWidth="1"/>
    <col min="13354" max="13354" width="15.85546875" style="264" customWidth="1"/>
    <col min="13355" max="13355" width="15.28515625" style="264" customWidth="1"/>
    <col min="13356" max="13356" width="17" style="264" customWidth="1"/>
    <col min="13357" max="13357" width="14" style="264" customWidth="1"/>
    <col min="13358" max="13358" width="12.28515625" style="264" customWidth="1"/>
    <col min="13359" max="13359" width="17.42578125" style="264" customWidth="1"/>
    <col min="13360" max="13360" width="14.140625" style="264" customWidth="1"/>
    <col min="13361" max="13361" width="15.42578125" style="264" customWidth="1"/>
    <col min="13362" max="13363" width="9.42578125" style="264" customWidth="1"/>
    <col min="13364" max="13364" width="50" style="264" customWidth="1"/>
    <col min="13365" max="13365" width="14" style="264" customWidth="1"/>
    <col min="13366" max="13366" width="11" style="264" customWidth="1"/>
    <col min="13367" max="13367" width="10.5703125" style="264" customWidth="1"/>
    <col min="13368" max="13368" width="13.5703125" style="264" customWidth="1"/>
    <col min="13369" max="13369" width="10.5703125" style="264" customWidth="1"/>
    <col min="13370" max="13370" width="13.140625" style="264" customWidth="1"/>
    <col min="13371" max="13371" width="15.5703125" style="264" customWidth="1"/>
    <col min="13372" max="13372" width="14.5703125" style="264" customWidth="1"/>
    <col min="13373" max="13373" width="9" style="264" customWidth="1"/>
    <col min="13374" max="13374" width="17.7109375" style="264" customWidth="1"/>
    <col min="13375" max="13605" width="9.140625" style="264"/>
    <col min="13606" max="13606" width="11.140625" style="264" customWidth="1"/>
    <col min="13607" max="13607" width="50.7109375" style="264" customWidth="1"/>
    <col min="13608" max="13608" width="6.85546875" style="264" customWidth="1"/>
    <col min="13609" max="13609" width="7.85546875" style="264" customWidth="1"/>
    <col min="13610" max="13610" width="15.85546875" style="264" customWidth="1"/>
    <col min="13611" max="13611" width="15.28515625" style="264" customWidth="1"/>
    <col min="13612" max="13612" width="17" style="264" customWidth="1"/>
    <col min="13613" max="13613" width="14" style="264" customWidth="1"/>
    <col min="13614" max="13614" width="12.28515625" style="264" customWidth="1"/>
    <col min="13615" max="13615" width="17.42578125" style="264" customWidth="1"/>
    <col min="13616" max="13616" width="14.140625" style="264" customWidth="1"/>
    <col min="13617" max="13617" width="15.42578125" style="264" customWidth="1"/>
    <col min="13618" max="13619" width="9.42578125" style="264" customWidth="1"/>
    <col min="13620" max="13620" width="50" style="264" customWidth="1"/>
    <col min="13621" max="13621" width="14" style="264" customWidth="1"/>
    <col min="13622" max="13622" width="11" style="264" customWidth="1"/>
    <col min="13623" max="13623" width="10.5703125" style="264" customWidth="1"/>
    <col min="13624" max="13624" width="13.5703125" style="264" customWidth="1"/>
    <col min="13625" max="13625" width="10.5703125" style="264" customWidth="1"/>
    <col min="13626" max="13626" width="13.140625" style="264" customWidth="1"/>
    <col min="13627" max="13627" width="15.5703125" style="264" customWidth="1"/>
    <col min="13628" max="13628" width="14.5703125" style="264" customWidth="1"/>
    <col min="13629" max="13629" width="9" style="264" customWidth="1"/>
    <col min="13630" max="13630" width="17.7109375" style="264" customWidth="1"/>
    <col min="13631" max="13861" width="9.140625" style="264"/>
    <col min="13862" max="13862" width="11.140625" style="264" customWidth="1"/>
    <col min="13863" max="13863" width="50.7109375" style="264" customWidth="1"/>
    <col min="13864" max="13864" width="6.85546875" style="264" customWidth="1"/>
    <col min="13865" max="13865" width="7.85546875" style="264" customWidth="1"/>
    <col min="13866" max="13866" width="15.85546875" style="264" customWidth="1"/>
    <col min="13867" max="13867" width="15.28515625" style="264" customWidth="1"/>
    <col min="13868" max="13868" width="17" style="264" customWidth="1"/>
    <col min="13869" max="13869" width="14" style="264" customWidth="1"/>
    <col min="13870" max="13870" width="12.28515625" style="264" customWidth="1"/>
    <col min="13871" max="13871" width="17.42578125" style="264" customWidth="1"/>
    <col min="13872" max="13872" width="14.140625" style="264" customWidth="1"/>
    <col min="13873" max="13873" width="15.42578125" style="264" customWidth="1"/>
    <col min="13874" max="13875" width="9.42578125" style="264" customWidth="1"/>
    <col min="13876" max="13876" width="50" style="264" customWidth="1"/>
    <col min="13877" max="13877" width="14" style="264" customWidth="1"/>
    <col min="13878" max="13878" width="11" style="264" customWidth="1"/>
    <col min="13879" max="13879" width="10.5703125" style="264" customWidth="1"/>
    <col min="13880" max="13880" width="13.5703125" style="264" customWidth="1"/>
    <col min="13881" max="13881" width="10.5703125" style="264" customWidth="1"/>
    <col min="13882" max="13882" width="13.140625" style="264" customWidth="1"/>
    <col min="13883" max="13883" width="15.5703125" style="264" customWidth="1"/>
    <col min="13884" max="13884" width="14.5703125" style="264" customWidth="1"/>
    <col min="13885" max="13885" width="9" style="264" customWidth="1"/>
    <col min="13886" max="13886" width="17.7109375" style="264" customWidth="1"/>
    <col min="13887" max="14117" width="9.140625" style="264"/>
    <col min="14118" max="14118" width="11.140625" style="264" customWidth="1"/>
    <col min="14119" max="14119" width="50.7109375" style="264" customWidth="1"/>
    <col min="14120" max="14120" width="6.85546875" style="264" customWidth="1"/>
    <col min="14121" max="14121" width="7.85546875" style="264" customWidth="1"/>
    <col min="14122" max="14122" width="15.85546875" style="264" customWidth="1"/>
    <col min="14123" max="14123" width="15.28515625" style="264" customWidth="1"/>
    <col min="14124" max="14124" width="17" style="264" customWidth="1"/>
    <col min="14125" max="14125" width="14" style="264" customWidth="1"/>
    <col min="14126" max="14126" width="12.28515625" style="264" customWidth="1"/>
    <col min="14127" max="14127" width="17.42578125" style="264" customWidth="1"/>
    <col min="14128" max="14128" width="14.140625" style="264" customWidth="1"/>
    <col min="14129" max="14129" width="15.42578125" style="264" customWidth="1"/>
    <col min="14130" max="14131" width="9.42578125" style="264" customWidth="1"/>
    <col min="14132" max="14132" width="50" style="264" customWidth="1"/>
    <col min="14133" max="14133" width="14" style="264" customWidth="1"/>
    <col min="14134" max="14134" width="11" style="264" customWidth="1"/>
    <col min="14135" max="14135" width="10.5703125" style="264" customWidth="1"/>
    <col min="14136" max="14136" width="13.5703125" style="264" customWidth="1"/>
    <col min="14137" max="14137" width="10.5703125" style="264" customWidth="1"/>
    <col min="14138" max="14138" width="13.140625" style="264" customWidth="1"/>
    <col min="14139" max="14139" width="15.5703125" style="264" customWidth="1"/>
    <col min="14140" max="14140" width="14.5703125" style="264" customWidth="1"/>
    <col min="14141" max="14141" width="9" style="264" customWidth="1"/>
    <col min="14142" max="14142" width="17.7109375" style="264" customWidth="1"/>
    <col min="14143" max="14373" width="9.140625" style="264"/>
    <col min="14374" max="14374" width="11.140625" style="264" customWidth="1"/>
    <col min="14375" max="14375" width="50.7109375" style="264" customWidth="1"/>
    <col min="14376" max="14376" width="6.85546875" style="264" customWidth="1"/>
    <col min="14377" max="14377" width="7.85546875" style="264" customWidth="1"/>
    <col min="14378" max="14378" width="15.85546875" style="264" customWidth="1"/>
    <col min="14379" max="14379" width="15.28515625" style="264" customWidth="1"/>
    <col min="14380" max="14380" width="17" style="264" customWidth="1"/>
    <col min="14381" max="14381" width="14" style="264" customWidth="1"/>
    <col min="14382" max="14382" width="12.28515625" style="264" customWidth="1"/>
    <col min="14383" max="14383" width="17.42578125" style="264" customWidth="1"/>
    <col min="14384" max="14384" width="14.140625" style="264" customWidth="1"/>
    <col min="14385" max="14385" width="15.42578125" style="264" customWidth="1"/>
    <col min="14386" max="14387" width="9.42578125" style="264" customWidth="1"/>
    <col min="14388" max="14388" width="50" style="264" customWidth="1"/>
    <col min="14389" max="14389" width="14" style="264" customWidth="1"/>
    <col min="14390" max="14390" width="11" style="264" customWidth="1"/>
    <col min="14391" max="14391" width="10.5703125" style="264" customWidth="1"/>
    <col min="14392" max="14392" width="13.5703125" style="264" customWidth="1"/>
    <col min="14393" max="14393" width="10.5703125" style="264" customWidth="1"/>
    <col min="14394" max="14394" width="13.140625" style="264" customWidth="1"/>
    <col min="14395" max="14395" width="15.5703125" style="264" customWidth="1"/>
    <col min="14396" max="14396" width="14.5703125" style="264" customWidth="1"/>
    <col min="14397" max="14397" width="9" style="264" customWidth="1"/>
    <col min="14398" max="14398" width="17.7109375" style="264" customWidth="1"/>
    <col min="14399" max="14629" width="9.140625" style="264"/>
    <col min="14630" max="14630" width="11.140625" style="264" customWidth="1"/>
    <col min="14631" max="14631" width="50.7109375" style="264" customWidth="1"/>
    <col min="14632" max="14632" width="6.85546875" style="264" customWidth="1"/>
    <col min="14633" max="14633" width="7.85546875" style="264" customWidth="1"/>
    <col min="14634" max="14634" width="15.85546875" style="264" customWidth="1"/>
    <col min="14635" max="14635" width="15.28515625" style="264" customWidth="1"/>
    <col min="14636" max="14636" width="17" style="264" customWidth="1"/>
    <col min="14637" max="14637" width="14" style="264" customWidth="1"/>
    <col min="14638" max="14638" width="12.28515625" style="264" customWidth="1"/>
    <col min="14639" max="14639" width="17.42578125" style="264" customWidth="1"/>
    <col min="14640" max="14640" width="14.140625" style="264" customWidth="1"/>
    <col min="14641" max="14641" width="15.42578125" style="264" customWidth="1"/>
    <col min="14642" max="14643" width="9.42578125" style="264" customWidth="1"/>
    <col min="14644" max="14644" width="50" style="264" customWidth="1"/>
    <col min="14645" max="14645" width="14" style="264" customWidth="1"/>
    <col min="14646" max="14646" width="11" style="264" customWidth="1"/>
    <col min="14647" max="14647" width="10.5703125" style="264" customWidth="1"/>
    <col min="14648" max="14648" width="13.5703125" style="264" customWidth="1"/>
    <col min="14649" max="14649" width="10.5703125" style="264" customWidth="1"/>
    <col min="14650" max="14650" width="13.140625" style="264" customWidth="1"/>
    <col min="14651" max="14651" width="15.5703125" style="264" customWidth="1"/>
    <col min="14652" max="14652" width="14.5703125" style="264" customWidth="1"/>
    <col min="14653" max="14653" width="9" style="264" customWidth="1"/>
    <col min="14654" max="14654" width="17.7109375" style="264" customWidth="1"/>
    <col min="14655" max="14885" width="9.140625" style="264"/>
    <col min="14886" max="14886" width="11.140625" style="264" customWidth="1"/>
    <col min="14887" max="14887" width="50.7109375" style="264" customWidth="1"/>
    <col min="14888" max="14888" width="6.85546875" style="264" customWidth="1"/>
    <col min="14889" max="14889" width="7.85546875" style="264" customWidth="1"/>
    <col min="14890" max="14890" width="15.85546875" style="264" customWidth="1"/>
    <col min="14891" max="14891" width="15.28515625" style="264" customWidth="1"/>
    <col min="14892" max="14892" width="17" style="264" customWidth="1"/>
    <col min="14893" max="14893" width="14" style="264" customWidth="1"/>
    <col min="14894" max="14894" width="12.28515625" style="264" customWidth="1"/>
    <col min="14895" max="14895" width="17.42578125" style="264" customWidth="1"/>
    <col min="14896" max="14896" width="14.140625" style="264" customWidth="1"/>
    <col min="14897" max="14897" width="15.42578125" style="264" customWidth="1"/>
    <col min="14898" max="14899" width="9.42578125" style="264" customWidth="1"/>
    <col min="14900" max="14900" width="50" style="264" customWidth="1"/>
    <col min="14901" max="14901" width="14" style="264" customWidth="1"/>
    <col min="14902" max="14902" width="11" style="264" customWidth="1"/>
    <col min="14903" max="14903" width="10.5703125" style="264" customWidth="1"/>
    <col min="14904" max="14904" width="13.5703125" style="264" customWidth="1"/>
    <col min="14905" max="14905" width="10.5703125" style="264" customWidth="1"/>
    <col min="14906" max="14906" width="13.140625" style="264" customWidth="1"/>
    <col min="14907" max="14907" width="15.5703125" style="264" customWidth="1"/>
    <col min="14908" max="14908" width="14.5703125" style="264" customWidth="1"/>
    <col min="14909" max="14909" width="9" style="264" customWidth="1"/>
    <col min="14910" max="14910" width="17.7109375" style="264" customWidth="1"/>
    <col min="14911" max="15141" width="9.140625" style="264"/>
    <col min="15142" max="15142" width="11.140625" style="264" customWidth="1"/>
    <col min="15143" max="15143" width="50.7109375" style="264" customWidth="1"/>
    <col min="15144" max="15144" width="6.85546875" style="264" customWidth="1"/>
    <col min="15145" max="15145" width="7.85546875" style="264" customWidth="1"/>
    <col min="15146" max="15146" width="15.85546875" style="264" customWidth="1"/>
    <col min="15147" max="15147" width="15.28515625" style="264" customWidth="1"/>
    <col min="15148" max="15148" width="17" style="264" customWidth="1"/>
    <col min="15149" max="15149" width="14" style="264" customWidth="1"/>
    <col min="15150" max="15150" width="12.28515625" style="264" customWidth="1"/>
    <col min="15151" max="15151" width="17.42578125" style="264" customWidth="1"/>
    <col min="15152" max="15152" width="14.140625" style="264" customWidth="1"/>
    <col min="15153" max="15153" width="15.42578125" style="264" customWidth="1"/>
    <col min="15154" max="15155" width="9.42578125" style="264" customWidth="1"/>
    <col min="15156" max="15156" width="50" style="264" customWidth="1"/>
    <col min="15157" max="15157" width="14" style="264" customWidth="1"/>
    <col min="15158" max="15158" width="11" style="264" customWidth="1"/>
    <col min="15159" max="15159" width="10.5703125" style="264" customWidth="1"/>
    <col min="15160" max="15160" width="13.5703125" style="264" customWidth="1"/>
    <col min="15161" max="15161" width="10.5703125" style="264" customWidth="1"/>
    <col min="15162" max="15162" width="13.140625" style="264" customWidth="1"/>
    <col min="15163" max="15163" width="15.5703125" style="264" customWidth="1"/>
    <col min="15164" max="15164" width="14.5703125" style="264" customWidth="1"/>
    <col min="15165" max="15165" width="9" style="264" customWidth="1"/>
    <col min="15166" max="15166" width="17.7109375" style="264" customWidth="1"/>
    <col min="15167" max="15397" width="9.140625" style="264"/>
    <col min="15398" max="15398" width="11.140625" style="264" customWidth="1"/>
    <col min="15399" max="15399" width="50.7109375" style="264" customWidth="1"/>
    <col min="15400" max="15400" width="6.85546875" style="264" customWidth="1"/>
    <col min="15401" max="15401" width="7.85546875" style="264" customWidth="1"/>
    <col min="15402" max="15402" width="15.85546875" style="264" customWidth="1"/>
    <col min="15403" max="15403" width="15.28515625" style="264" customWidth="1"/>
    <col min="15404" max="15404" width="17" style="264" customWidth="1"/>
    <col min="15405" max="15405" width="14" style="264" customWidth="1"/>
    <col min="15406" max="15406" width="12.28515625" style="264" customWidth="1"/>
    <col min="15407" max="15407" width="17.42578125" style="264" customWidth="1"/>
    <col min="15408" max="15408" width="14.140625" style="264" customWidth="1"/>
    <col min="15409" max="15409" width="15.42578125" style="264" customWidth="1"/>
    <col min="15410" max="15411" width="9.42578125" style="264" customWidth="1"/>
    <col min="15412" max="15412" width="50" style="264" customWidth="1"/>
    <col min="15413" max="15413" width="14" style="264" customWidth="1"/>
    <col min="15414" max="15414" width="11" style="264" customWidth="1"/>
    <col min="15415" max="15415" width="10.5703125" style="264" customWidth="1"/>
    <col min="15416" max="15416" width="13.5703125" style="264" customWidth="1"/>
    <col min="15417" max="15417" width="10.5703125" style="264" customWidth="1"/>
    <col min="15418" max="15418" width="13.140625" style="264" customWidth="1"/>
    <col min="15419" max="15419" width="15.5703125" style="264" customWidth="1"/>
    <col min="15420" max="15420" width="14.5703125" style="264" customWidth="1"/>
    <col min="15421" max="15421" width="9" style="264" customWidth="1"/>
    <col min="15422" max="15422" width="17.7109375" style="264" customWidth="1"/>
    <col min="15423" max="15653" width="9.140625" style="264"/>
    <col min="15654" max="15654" width="11.140625" style="264" customWidth="1"/>
    <col min="15655" max="15655" width="50.7109375" style="264" customWidth="1"/>
    <col min="15656" max="15656" width="6.85546875" style="264" customWidth="1"/>
    <col min="15657" max="15657" width="7.85546875" style="264" customWidth="1"/>
    <col min="15658" max="15658" width="15.85546875" style="264" customWidth="1"/>
    <col min="15659" max="15659" width="15.28515625" style="264" customWidth="1"/>
    <col min="15660" max="15660" width="17" style="264" customWidth="1"/>
    <col min="15661" max="15661" width="14" style="264" customWidth="1"/>
    <col min="15662" max="15662" width="12.28515625" style="264" customWidth="1"/>
    <col min="15663" max="15663" width="17.42578125" style="264" customWidth="1"/>
    <col min="15664" max="15664" width="14.140625" style="264" customWidth="1"/>
    <col min="15665" max="15665" width="15.42578125" style="264" customWidth="1"/>
    <col min="15666" max="15667" width="9.42578125" style="264" customWidth="1"/>
    <col min="15668" max="15668" width="50" style="264" customWidth="1"/>
    <col min="15669" max="15669" width="14" style="264" customWidth="1"/>
    <col min="15670" max="15670" width="11" style="264" customWidth="1"/>
    <col min="15671" max="15671" width="10.5703125" style="264" customWidth="1"/>
    <col min="15672" max="15672" width="13.5703125" style="264" customWidth="1"/>
    <col min="15673" max="15673" width="10.5703125" style="264" customWidth="1"/>
    <col min="15674" max="15674" width="13.140625" style="264" customWidth="1"/>
    <col min="15675" max="15675" width="15.5703125" style="264" customWidth="1"/>
    <col min="15676" max="15676" width="14.5703125" style="264" customWidth="1"/>
    <col min="15677" max="15677" width="9" style="264" customWidth="1"/>
    <col min="15678" max="15678" width="17.7109375" style="264" customWidth="1"/>
    <col min="15679" max="15909" width="9.140625" style="264"/>
    <col min="15910" max="15910" width="11.140625" style="264" customWidth="1"/>
    <col min="15911" max="15911" width="50.7109375" style="264" customWidth="1"/>
    <col min="15912" max="15912" width="6.85546875" style="264" customWidth="1"/>
    <col min="15913" max="15913" width="7.85546875" style="264" customWidth="1"/>
    <col min="15914" max="15914" width="15.85546875" style="264" customWidth="1"/>
    <col min="15915" max="15915" width="15.28515625" style="264" customWidth="1"/>
    <col min="15916" max="15916" width="17" style="264" customWidth="1"/>
    <col min="15917" max="15917" width="14" style="264" customWidth="1"/>
    <col min="15918" max="15918" width="12.28515625" style="264" customWidth="1"/>
    <col min="15919" max="15919" width="17.42578125" style="264" customWidth="1"/>
    <col min="15920" max="15920" width="14.140625" style="264" customWidth="1"/>
    <col min="15921" max="15921" width="15.42578125" style="264" customWidth="1"/>
    <col min="15922" max="15923" width="9.42578125" style="264" customWidth="1"/>
    <col min="15924" max="15924" width="50" style="264" customWidth="1"/>
    <col min="15925" max="15925" width="14" style="264" customWidth="1"/>
    <col min="15926" max="15926" width="11" style="264" customWidth="1"/>
    <col min="15927" max="15927" width="10.5703125" style="264" customWidth="1"/>
    <col min="15928" max="15928" width="13.5703125" style="264" customWidth="1"/>
    <col min="15929" max="15929" width="10.5703125" style="264" customWidth="1"/>
    <col min="15930" max="15930" width="13.140625" style="264" customWidth="1"/>
    <col min="15931" max="15931" width="15.5703125" style="264" customWidth="1"/>
    <col min="15932" max="15932" width="14.5703125" style="264" customWidth="1"/>
    <col min="15933" max="15933" width="9" style="264" customWidth="1"/>
    <col min="15934" max="15934" width="17.7109375" style="264" customWidth="1"/>
    <col min="15935" max="16165" width="9.140625" style="264"/>
    <col min="16166" max="16166" width="11.140625" style="264" customWidth="1"/>
    <col min="16167" max="16167" width="50.7109375" style="264" customWidth="1"/>
    <col min="16168" max="16168" width="6.85546875" style="264" customWidth="1"/>
    <col min="16169" max="16169" width="7.85546875" style="264" customWidth="1"/>
    <col min="16170" max="16170" width="15.85546875" style="264" customWidth="1"/>
    <col min="16171" max="16171" width="15.28515625" style="264" customWidth="1"/>
    <col min="16172" max="16172" width="17" style="264" customWidth="1"/>
    <col min="16173" max="16173" width="14" style="264" customWidth="1"/>
    <col min="16174" max="16174" width="12.28515625" style="264" customWidth="1"/>
    <col min="16175" max="16175" width="17.42578125" style="264" customWidth="1"/>
    <col min="16176" max="16176" width="14.140625" style="264" customWidth="1"/>
    <col min="16177" max="16177" width="15.42578125" style="264" customWidth="1"/>
    <col min="16178" max="16179" width="9.42578125" style="264" customWidth="1"/>
    <col min="16180" max="16180" width="50" style="264" customWidth="1"/>
    <col min="16181" max="16181" width="14" style="264" customWidth="1"/>
    <col min="16182" max="16182" width="11" style="264" customWidth="1"/>
    <col min="16183" max="16183" width="10.5703125" style="264" customWidth="1"/>
    <col min="16184" max="16184" width="13.5703125" style="264" customWidth="1"/>
    <col min="16185" max="16185" width="10.5703125" style="264" customWidth="1"/>
    <col min="16186" max="16186" width="13.140625" style="264" customWidth="1"/>
    <col min="16187" max="16187" width="15.5703125" style="264" customWidth="1"/>
    <col min="16188" max="16188" width="14.5703125" style="264" customWidth="1"/>
    <col min="16189" max="16189" width="9" style="264" customWidth="1"/>
    <col min="16190" max="16190" width="17.7109375" style="264" customWidth="1"/>
    <col min="16191" max="16384" width="9.140625" style="264"/>
  </cols>
  <sheetData>
    <row r="1" spans="1:63" ht="28.5" customHeight="1" x14ac:dyDescent="0.2">
      <c r="A1" s="909" t="s">
        <v>510</v>
      </c>
      <c r="B1" s="909" t="s">
        <v>15</v>
      </c>
      <c r="C1" s="263" t="s">
        <v>512</v>
      </c>
      <c r="D1" s="909" t="s">
        <v>471</v>
      </c>
      <c r="E1" s="900" t="s">
        <v>545</v>
      </c>
      <c r="F1" s="901"/>
      <c r="G1" s="902"/>
      <c r="H1" s="900" t="s">
        <v>546</v>
      </c>
      <c r="I1" s="901"/>
      <c r="J1" s="902"/>
      <c r="K1" s="900" t="s">
        <v>547</v>
      </c>
      <c r="L1" s="901"/>
      <c r="M1" s="902"/>
      <c r="N1" s="900" t="s">
        <v>878</v>
      </c>
      <c r="O1" s="901"/>
      <c r="P1" s="902"/>
      <c r="Q1" s="906" t="s">
        <v>879</v>
      </c>
      <c r="R1" s="907"/>
      <c r="S1" s="907"/>
      <c r="T1" s="907"/>
      <c r="U1" s="907"/>
      <c r="V1" s="907"/>
      <c r="W1" s="907"/>
      <c r="X1" s="907"/>
      <c r="Y1" s="907"/>
      <c r="Z1" s="907"/>
      <c r="AA1" s="907"/>
      <c r="AB1" s="907"/>
      <c r="AC1" s="907"/>
      <c r="AD1" s="907"/>
      <c r="AE1" s="908"/>
      <c r="AF1" s="909" t="s">
        <v>510</v>
      </c>
      <c r="AG1" s="909" t="s">
        <v>15</v>
      </c>
      <c r="AH1" s="899" t="s">
        <v>553</v>
      </c>
      <c r="AI1" s="899"/>
      <c r="AJ1" s="899"/>
      <c r="AK1" s="899" t="s">
        <v>554</v>
      </c>
      <c r="AL1" s="899"/>
      <c r="AM1" s="899"/>
      <c r="AN1" s="899" t="s">
        <v>881</v>
      </c>
      <c r="AO1" s="899"/>
      <c r="AP1" s="899"/>
      <c r="AQ1" s="899"/>
      <c r="AR1" s="899"/>
      <c r="AS1" s="899"/>
      <c r="AT1" s="899"/>
      <c r="AU1" s="899"/>
      <c r="AV1" s="899"/>
      <c r="AW1" s="899"/>
      <c r="AX1" s="899"/>
      <c r="AY1" s="899"/>
      <c r="AZ1" s="898" t="s">
        <v>880</v>
      </c>
      <c r="BA1" s="898"/>
      <c r="BB1" s="898"/>
      <c r="BC1" s="898"/>
      <c r="BD1" s="898"/>
      <c r="BE1" s="898"/>
      <c r="BF1" s="898"/>
      <c r="BG1" s="898"/>
      <c r="BH1" s="898"/>
      <c r="BI1" s="898" t="s">
        <v>13</v>
      </c>
      <c r="BJ1" s="898"/>
      <c r="BK1" s="898"/>
    </row>
    <row r="2" spans="1:63" ht="44.25" customHeight="1" x14ac:dyDescent="0.2">
      <c r="A2" s="909"/>
      <c r="B2" s="909"/>
      <c r="C2" s="909" t="s">
        <v>511</v>
      </c>
      <c r="D2" s="909"/>
      <c r="E2" s="903"/>
      <c r="F2" s="904"/>
      <c r="G2" s="905"/>
      <c r="H2" s="903"/>
      <c r="I2" s="904"/>
      <c r="J2" s="905"/>
      <c r="K2" s="903"/>
      <c r="L2" s="904"/>
      <c r="M2" s="905"/>
      <c r="N2" s="903"/>
      <c r="O2" s="904"/>
      <c r="P2" s="905"/>
      <c r="Q2" s="906" t="s">
        <v>548</v>
      </c>
      <c r="R2" s="907"/>
      <c r="S2" s="908"/>
      <c r="T2" s="906" t="s">
        <v>549</v>
      </c>
      <c r="U2" s="907"/>
      <c r="V2" s="908"/>
      <c r="W2" s="906" t="s">
        <v>550</v>
      </c>
      <c r="X2" s="907"/>
      <c r="Y2" s="908"/>
      <c r="Z2" s="906" t="s">
        <v>551</v>
      </c>
      <c r="AA2" s="907"/>
      <c r="AB2" s="908"/>
      <c r="AC2" s="906" t="s">
        <v>552</v>
      </c>
      <c r="AD2" s="907"/>
      <c r="AE2" s="908"/>
      <c r="AF2" s="909"/>
      <c r="AG2" s="909"/>
      <c r="AH2" s="899"/>
      <c r="AI2" s="899"/>
      <c r="AJ2" s="899"/>
      <c r="AK2" s="899"/>
      <c r="AL2" s="899"/>
      <c r="AM2" s="899"/>
      <c r="AN2" s="899" t="s">
        <v>555</v>
      </c>
      <c r="AO2" s="899"/>
      <c r="AP2" s="899"/>
      <c r="AQ2" s="899" t="s">
        <v>556</v>
      </c>
      <c r="AR2" s="899"/>
      <c r="AS2" s="899"/>
      <c r="AT2" s="899" t="s">
        <v>557</v>
      </c>
      <c r="AU2" s="899"/>
      <c r="AV2" s="899"/>
      <c r="AW2" s="899" t="s">
        <v>558</v>
      </c>
      <c r="AX2" s="899"/>
      <c r="AY2" s="899"/>
      <c r="AZ2" s="898" t="s">
        <v>559</v>
      </c>
      <c r="BA2" s="898"/>
      <c r="BB2" s="898"/>
      <c r="BC2" s="898" t="s">
        <v>882</v>
      </c>
      <c r="BD2" s="898"/>
      <c r="BE2" s="898"/>
      <c r="BF2" s="898" t="s">
        <v>516</v>
      </c>
      <c r="BG2" s="898"/>
      <c r="BH2" s="898"/>
      <c r="BI2" s="898"/>
      <c r="BJ2" s="898"/>
      <c r="BK2" s="898"/>
    </row>
    <row r="3" spans="1:63" ht="25.5" x14ac:dyDescent="0.2">
      <c r="A3" s="909"/>
      <c r="B3" s="909"/>
      <c r="C3" s="909"/>
      <c r="D3" s="263"/>
      <c r="E3" s="350" t="s">
        <v>579</v>
      </c>
      <c r="F3" s="350" t="s">
        <v>820</v>
      </c>
      <c r="G3" s="350" t="s">
        <v>877</v>
      </c>
      <c r="H3" s="350" t="s">
        <v>579</v>
      </c>
      <c r="I3" s="350" t="s">
        <v>820</v>
      </c>
      <c r="J3" s="350" t="s">
        <v>877</v>
      </c>
      <c r="K3" s="350" t="s">
        <v>579</v>
      </c>
      <c r="L3" s="350" t="s">
        <v>820</v>
      </c>
      <c r="M3" s="350" t="s">
        <v>877</v>
      </c>
      <c r="N3" s="350" t="s">
        <v>579</v>
      </c>
      <c r="O3" s="350" t="s">
        <v>820</v>
      </c>
      <c r="P3" s="350" t="s">
        <v>877</v>
      </c>
      <c r="Q3" s="350" t="s">
        <v>579</v>
      </c>
      <c r="R3" s="350" t="s">
        <v>820</v>
      </c>
      <c r="S3" s="350" t="s">
        <v>877</v>
      </c>
      <c r="T3" s="350" t="s">
        <v>579</v>
      </c>
      <c r="U3" s="350" t="s">
        <v>820</v>
      </c>
      <c r="V3" s="350" t="s">
        <v>877</v>
      </c>
      <c r="W3" s="350" t="s">
        <v>579</v>
      </c>
      <c r="X3" s="350" t="s">
        <v>820</v>
      </c>
      <c r="Y3" s="350" t="s">
        <v>877</v>
      </c>
      <c r="Z3" s="350" t="s">
        <v>579</v>
      </c>
      <c r="AA3" s="350" t="s">
        <v>820</v>
      </c>
      <c r="AB3" s="350" t="s">
        <v>877</v>
      </c>
      <c r="AC3" s="350" t="s">
        <v>579</v>
      </c>
      <c r="AD3" s="350" t="s">
        <v>820</v>
      </c>
      <c r="AE3" s="350" t="s">
        <v>877</v>
      </c>
      <c r="AF3" s="909"/>
      <c r="AG3" s="909"/>
      <c r="AH3" s="350" t="s">
        <v>579</v>
      </c>
      <c r="AI3" s="350" t="s">
        <v>820</v>
      </c>
      <c r="AJ3" s="350" t="s">
        <v>877</v>
      </c>
      <c r="AK3" s="350" t="s">
        <v>579</v>
      </c>
      <c r="AL3" s="350" t="s">
        <v>820</v>
      </c>
      <c r="AM3" s="350" t="s">
        <v>877</v>
      </c>
      <c r="AN3" s="350" t="s">
        <v>579</v>
      </c>
      <c r="AO3" s="350" t="s">
        <v>820</v>
      </c>
      <c r="AP3" s="350" t="s">
        <v>877</v>
      </c>
      <c r="AQ3" s="350" t="s">
        <v>579</v>
      </c>
      <c r="AR3" s="350" t="s">
        <v>820</v>
      </c>
      <c r="AS3" s="350" t="s">
        <v>877</v>
      </c>
      <c r="AT3" s="350" t="s">
        <v>579</v>
      </c>
      <c r="AU3" s="350" t="s">
        <v>820</v>
      </c>
      <c r="AV3" s="350" t="s">
        <v>877</v>
      </c>
      <c r="AW3" s="350" t="s">
        <v>579</v>
      </c>
      <c r="AX3" s="350" t="s">
        <v>820</v>
      </c>
      <c r="AY3" s="350" t="s">
        <v>877</v>
      </c>
      <c r="AZ3" s="350" t="s">
        <v>579</v>
      </c>
      <c r="BA3" s="350" t="s">
        <v>820</v>
      </c>
      <c r="BB3" s="350" t="s">
        <v>877</v>
      </c>
      <c r="BC3" s="350" t="s">
        <v>579</v>
      </c>
      <c r="BD3" s="350" t="s">
        <v>820</v>
      </c>
      <c r="BE3" s="350" t="s">
        <v>877</v>
      </c>
      <c r="BF3" s="350" t="s">
        <v>579</v>
      </c>
      <c r="BG3" s="350" t="s">
        <v>820</v>
      </c>
      <c r="BH3" s="350" t="s">
        <v>877</v>
      </c>
      <c r="BI3" s="350" t="s">
        <v>579</v>
      </c>
      <c r="BJ3" s="350" t="s">
        <v>820</v>
      </c>
      <c r="BK3" s="350" t="s">
        <v>877</v>
      </c>
    </row>
    <row r="4" spans="1:63" ht="15.75" x14ac:dyDescent="0.2">
      <c r="A4" s="265"/>
      <c r="B4" s="266" t="s">
        <v>472</v>
      </c>
      <c r="C4" s="266"/>
      <c r="D4" s="267"/>
      <c r="E4" s="268"/>
      <c r="F4" s="268"/>
      <c r="G4" s="268"/>
      <c r="H4" s="268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5"/>
      <c r="AG4" s="266" t="s">
        <v>472</v>
      </c>
      <c r="AH4" s="266"/>
      <c r="AI4" s="270"/>
      <c r="AJ4" s="270"/>
      <c r="AK4" s="270"/>
      <c r="AL4" s="270"/>
      <c r="AM4" s="270"/>
      <c r="AN4" s="270"/>
      <c r="AO4" s="270"/>
      <c r="AP4" s="270"/>
      <c r="AQ4" s="270"/>
      <c r="AR4" s="270"/>
      <c r="AS4" s="270"/>
      <c r="AT4" s="270"/>
      <c r="AU4" s="270"/>
      <c r="AV4" s="270"/>
      <c r="AW4" s="270"/>
      <c r="AX4" s="270"/>
      <c r="AY4" s="270"/>
      <c r="AZ4" s="270"/>
      <c r="BA4" s="270"/>
      <c r="BB4" s="270"/>
      <c r="BC4" s="270"/>
      <c r="BD4" s="270"/>
      <c r="BE4" s="270"/>
      <c r="BF4" s="270"/>
      <c r="BG4" s="270"/>
      <c r="BH4" s="270"/>
      <c r="BI4" s="270"/>
      <c r="BJ4" s="271"/>
      <c r="BK4" s="271"/>
    </row>
    <row r="5" spans="1:63" ht="15.75" x14ac:dyDescent="0.2">
      <c r="A5" s="272" t="s">
        <v>357</v>
      </c>
      <c r="B5" s="272" t="s">
        <v>358</v>
      </c>
      <c r="C5" s="272"/>
      <c r="D5" s="271"/>
      <c r="E5" s="273"/>
      <c r="F5" s="273"/>
      <c r="G5" s="273"/>
      <c r="H5" s="273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3"/>
      <c r="V5" s="273"/>
      <c r="W5" s="273"/>
      <c r="X5" s="270"/>
      <c r="Y5" s="270"/>
      <c r="Z5" s="270"/>
      <c r="AA5" s="273"/>
      <c r="AB5" s="273"/>
      <c r="AC5" s="273"/>
      <c r="AD5" s="270"/>
      <c r="AE5" s="270"/>
      <c r="AF5" s="272" t="s">
        <v>357</v>
      </c>
      <c r="AG5" s="272" t="s">
        <v>358</v>
      </c>
      <c r="AH5" s="278"/>
      <c r="AI5" s="273"/>
      <c r="AJ5" s="273"/>
      <c r="AK5" s="273"/>
      <c r="AL5" s="273"/>
      <c r="AM5" s="273"/>
      <c r="AN5" s="273"/>
      <c r="AO5" s="273"/>
      <c r="AP5" s="273"/>
      <c r="AQ5" s="273"/>
      <c r="AR5" s="273"/>
      <c r="AS5" s="273"/>
      <c r="AT5" s="273"/>
      <c r="AU5" s="273"/>
      <c r="AV5" s="273"/>
      <c r="AW5" s="273"/>
      <c r="AX5" s="273"/>
      <c r="AY5" s="273"/>
      <c r="AZ5" s="273"/>
      <c r="BA5" s="273"/>
      <c r="BB5" s="273"/>
      <c r="BC5" s="273"/>
      <c r="BD5" s="273"/>
      <c r="BE5" s="273"/>
      <c r="BF5" s="273"/>
      <c r="BG5" s="273"/>
      <c r="BH5" s="273"/>
      <c r="BI5" s="273"/>
      <c r="BJ5" s="278"/>
      <c r="BK5" s="278"/>
    </row>
    <row r="6" spans="1:63" ht="15.75" x14ac:dyDescent="0.2">
      <c r="A6" s="274" t="s">
        <v>359</v>
      </c>
      <c r="B6" s="275" t="s">
        <v>360</v>
      </c>
      <c r="C6" s="275" t="s">
        <v>169</v>
      </c>
      <c r="D6" s="276">
        <v>5</v>
      </c>
      <c r="E6" s="277">
        <v>35597754</v>
      </c>
      <c r="F6" s="277">
        <v>33401491</v>
      </c>
      <c r="G6" s="277">
        <v>32269150</v>
      </c>
      <c r="H6" s="277">
        <v>7641903</v>
      </c>
      <c r="I6" s="277">
        <v>7728752</v>
      </c>
      <c r="J6" s="277">
        <v>7180731</v>
      </c>
      <c r="K6" s="277">
        <v>30379550</v>
      </c>
      <c r="L6" s="277">
        <f>30379550-360000-58266-147440-176600-76596</f>
        <v>29560648</v>
      </c>
      <c r="M6" s="277">
        <v>27824775</v>
      </c>
      <c r="N6" s="277"/>
      <c r="O6" s="277"/>
      <c r="P6" s="277"/>
      <c r="Q6" s="277"/>
      <c r="R6" s="277"/>
      <c r="S6" s="277"/>
      <c r="T6" s="273">
        <v>150000</v>
      </c>
      <c r="U6" s="273">
        <v>150000</v>
      </c>
      <c r="V6" s="273"/>
      <c r="W6" s="273"/>
      <c r="X6" s="277"/>
      <c r="Y6" s="277"/>
      <c r="Z6" s="277">
        <v>3000000</v>
      </c>
      <c r="AA6" s="277">
        <f>'4.a. sz.m.egyéb műk.kiadás '!D23</f>
        <v>3000000</v>
      </c>
      <c r="AB6" s="277"/>
      <c r="AC6" s="277">
        <v>255712508</v>
      </c>
      <c r="AD6" s="277">
        <v>538653284</v>
      </c>
      <c r="AE6" s="277"/>
      <c r="AF6" s="274" t="s">
        <v>359</v>
      </c>
      <c r="AG6" s="275" t="s">
        <v>360</v>
      </c>
      <c r="AH6" s="277"/>
      <c r="AI6" s="277">
        <v>1508881</v>
      </c>
      <c r="AJ6" s="277">
        <v>1508881</v>
      </c>
      <c r="AK6" s="277"/>
      <c r="AL6" s="277"/>
      <c r="AM6" s="277"/>
      <c r="AN6" s="277"/>
      <c r="AO6" s="277"/>
      <c r="AP6" s="277"/>
      <c r="AQ6" s="277"/>
      <c r="AR6" s="277"/>
      <c r="AS6" s="277"/>
      <c r="AT6" s="277"/>
      <c r="AU6" s="277"/>
      <c r="AV6" s="277"/>
      <c r="AW6" s="277"/>
      <c r="AX6" s="277"/>
      <c r="AY6" s="277"/>
      <c r="AZ6" s="277"/>
      <c r="BA6" s="277"/>
      <c r="BB6" s="277"/>
      <c r="BC6" s="277"/>
      <c r="BD6" s="277"/>
      <c r="BE6" s="277"/>
      <c r="BF6" s="277"/>
      <c r="BG6" s="277"/>
      <c r="BH6" s="277"/>
      <c r="BI6" s="278">
        <f t="shared" ref="BI6:BI40" si="0">SUM(E6+H6+K6+N6+Q6+T6+W6+Z6+AC6+AH6+AK6+AN6+AQ6+AT6+AW6+AZ6+BF6+BC6)</f>
        <v>332481715</v>
      </c>
      <c r="BJ6" s="278">
        <f t="shared" ref="BJ6:BK40" si="1">SUM(F6+I6+L6+O6+R6+U6+X6+AA6+AD6+AI6+AL6+AO6+AR6+AU6+AX6+BA6+BG6+BD6)</f>
        <v>614003056</v>
      </c>
      <c r="BK6" s="278">
        <f t="shared" si="1"/>
        <v>68783537</v>
      </c>
    </row>
    <row r="7" spans="1:63" ht="15.75" x14ac:dyDescent="0.2">
      <c r="A7" s="274" t="s">
        <v>474</v>
      </c>
      <c r="B7" s="279" t="s">
        <v>475</v>
      </c>
      <c r="C7" s="279" t="s">
        <v>169</v>
      </c>
      <c r="D7" s="270"/>
      <c r="E7" s="277"/>
      <c r="F7" s="277"/>
      <c r="G7" s="277"/>
      <c r="H7" s="277"/>
      <c r="I7" s="277"/>
      <c r="J7" s="277"/>
      <c r="K7" s="277">
        <v>420000</v>
      </c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4" t="s">
        <v>474</v>
      </c>
      <c r="AG7" s="279" t="s">
        <v>475</v>
      </c>
      <c r="AH7" s="277"/>
      <c r="AI7" s="277"/>
      <c r="AJ7" s="277"/>
      <c r="AK7" s="277"/>
      <c r="AL7" s="277"/>
      <c r="AM7" s="277"/>
      <c r="AN7" s="277"/>
      <c r="AO7" s="277"/>
      <c r="AP7" s="277"/>
      <c r="AQ7" s="277"/>
      <c r="AR7" s="277"/>
      <c r="AS7" s="277"/>
      <c r="AT7" s="277"/>
      <c r="AU7" s="277"/>
      <c r="AV7" s="277"/>
      <c r="AW7" s="277"/>
      <c r="AX7" s="277"/>
      <c r="AY7" s="277"/>
      <c r="AZ7" s="277"/>
      <c r="BA7" s="277"/>
      <c r="BB7" s="277"/>
      <c r="BC7" s="277"/>
      <c r="BD7" s="277"/>
      <c r="BE7" s="277"/>
      <c r="BF7" s="277"/>
      <c r="BG7" s="277"/>
      <c r="BH7" s="277"/>
      <c r="BI7" s="278">
        <f t="shared" si="0"/>
        <v>420000</v>
      </c>
      <c r="BJ7" s="278">
        <f t="shared" si="1"/>
        <v>0</v>
      </c>
      <c r="BK7" s="278">
        <f t="shared" si="1"/>
        <v>0</v>
      </c>
    </row>
    <row r="8" spans="1:63" ht="15.75" x14ac:dyDescent="0.2">
      <c r="A8" s="274" t="s">
        <v>361</v>
      </c>
      <c r="B8" s="280" t="s">
        <v>476</v>
      </c>
      <c r="C8" s="279" t="s">
        <v>169</v>
      </c>
      <c r="D8" s="270"/>
      <c r="E8" s="277"/>
      <c r="F8" s="277"/>
      <c r="G8" s="277"/>
      <c r="H8" s="277"/>
      <c r="I8" s="277"/>
      <c r="J8" s="277"/>
      <c r="K8" s="277">
        <v>6515000</v>
      </c>
      <c r="L8" s="277">
        <v>6515000</v>
      </c>
      <c r="M8" s="277">
        <v>5788948</v>
      </c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277"/>
      <c r="AF8" s="274" t="s">
        <v>361</v>
      </c>
      <c r="AG8" s="280" t="s">
        <v>476</v>
      </c>
      <c r="AH8" s="277"/>
      <c r="AI8" s="277"/>
      <c r="AJ8" s="277"/>
      <c r="AK8" s="277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77"/>
      <c r="BE8" s="277"/>
      <c r="BF8" s="277"/>
      <c r="BG8" s="277"/>
      <c r="BH8" s="277"/>
      <c r="BI8" s="278">
        <f t="shared" si="0"/>
        <v>6515000</v>
      </c>
      <c r="BJ8" s="278">
        <f t="shared" si="1"/>
        <v>6515000</v>
      </c>
      <c r="BK8" s="278">
        <f t="shared" si="1"/>
        <v>5788948</v>
      </c>
    </row>
    <row r="9" spans="1:63" ht="15.75" x14ac:dyDescent="0.2">
      <c r="A9" s="274" t="s">
        <v>363</v>
      </c>
      <c r="B9" s="280" t="s">
        <v>513</v>
      </c>
      <c r="C9" s="279" t="s">
        <v>169</v>
      </c>
      <c r="D9" s="270"/>
      <c r="E9" s="277"/>
      <c r="F9" s="277"/>
      <c r="G9" s="277"/>
      <c r="H9" s="277"/>
      <c r="I9" s="277"/>
      <c r="J9" s="277"/>
      <c r="K9" s="315">
        <v>27767207</v>
      </c>
      <c r="L9" s="315">
        <f>27767207+5000000-56999</f>
        <v>32710208</v>
      </c>
      <c r="M9" s="315">
        <v>15320843</v>
      </c>
      <c r="N9" s="315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4" t="s">
        <v>363</v>
      </c>
      <c r="AG9" s="280" t="s">
        <v>513</v>
      </c>
      <c r="AH9" s="277">
        <v>354165670</v>
      </c>
      <c r="AI9" s="277">
        <v>323154004</v>
      </c>
      <c r="AJ9" s="277">
        <v>30398727</v>
      </c>
      <c r="AK9" s="277">
        <v>18584750</v>
      </c>
      <c r="AL9" s="277">
        <v>23201977</v>
      </c>
      <c r="AM9" s="277">
        <v>6270322</v>
      </c>
      <c r="AN9" s="277"/>
      <c r="AO9" s="277">
        <v>21531976</v>
      </c>
      <c r="AP9" s="277"/>
      <c r="AQ9" s="277"/>
      <c r="AR9" s="277"/>
      <c r="AS9" s="277"/>
      <c r="AT9" s="277"/>
      <c r="AU9" s="277"/>
      <c r="AV9" s="277"/>
      <c r="AW9" s="277"/>
      <c r="AX9" s="277"/>
      <c r="AY9" s="277"/>
      <c r="AZ9" s="277"/>
      <c r="BA9" s="277"/>
      <c r="BB9" s="277"/>
      <c r="BC9" s="277"/>
      <c r="BD9" s="277"/>
      <c r="BE9" s="277"/>
      <c r="BF9" s="277"/>
      <c r="BG9" s="277"/>
      <c r="BH9" s="277"/>
      <c r="BI9" s="278">
        <f t="shared" si="0"/>
        <v>400517627</v>
      </c>
      <c r="BJ9" s="278">
        <f t="shared" si="1"/>
        <v>400598165</v>
      </c>
      <c r="BK9" s="278">
        <f t="shared" si="1"/>
        <v>51989892</v>
      </c>
    </row>
    <row r="10" spans="1:63" ht="15.75" x14ac:dyDescent="0.2">
      <c r="A10" s="274" t="s">
        <v>883</v>
      </c>
      <c r="B10" s="280" t="s">
        <v>884</v>
      </c>
      <c r="C10" s="279" t="s">
        <v>169</v>
      </c>
      <c r="D10" s="270"/>
      <c r="E10" s="277"/>
      <c r="F10" s="277">
        <v>1602384</v>
      </c>
      <c r="G10" s="277">
        <v>1602384</v>
      </c>
      <c r="H10" s="277"/>
      <c r="I10" s="277">
        <v>163218</v>
      </c>
      <c r="J10" s="277">
        <v>163218</v>
      </c>
      <c r="K10" s="315"/>
      <c r="L10" s="315">
        <v>497333</v>
      </c>
      <c r="M10" s="315">
        <v>497333</v>
      </c>
      <c r="N10" s="315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277"/>
      <c r="AE10" s="277"/>
      <c r="AF10" s="274" t="s">
        <v>883</v>
      </c>
      <c r="AG10" s="280" t="s">
        <v>885</v>
      </c>
      <c r="AH10" s="277"/>
      <c r="AI10" s="277">
        <v>58266</v>
      </c>
      <c r="AJ10" s="277">
        <v>58266</v>
      </c>
      <c r="AK10" s="277"/>
      <c r="AL10" s="277"/>
      <c r="AM10" s="277"/>
      <c r="AN10" s="277"/>
      <c r="AO10" s="277"/>
      <c r="AP10" s="277"/>
      <c r="AQ10" s="277"/>
      <c r="AR10" s="277"/>
      <c r="AS10" s="277"/>
      <c r="AT10" s="277"/>
      <c r="AU10" s="277"/>
      <c r="AV10" s="277"/>
      <c r="AW10" s="277"/>
      <c r="AX10" s="277"/>
      <c r="AY10" s="277"/>
      <c r="AZ10" s="277"/>
      <c r="BA10" s="277"/>
      <c r="BB10" s="277"/>
      <c r="BC10" s="277"/>
      <c r="BD10" s="277"/>
      <c r="BE10" s="277"/>
      <c r="BF10" s="277"/>
      <c r="BG10" s="277"/>
      <c r="BH10" s="277"/>
      <c r="BI10" s="278">
        <f t="shared" ref="BI10" si="2">SUM(E10+H10+K10+N10+Q10+T10+W10+Z10+AC10+AH10+AK10+AN10+AQ10+AT10+AW10+AZ10+BF10+BC10)</f>
        <v>0</v>
      </c>
      <c r="BJ10" s="278">
        <f t="shared" ref="BJ10" si="3">SUM(F10+I10+L10+O10+R10+U10+X10+AA10+AD10+AI10+AL10+AO10+AR10+AU10+AX10+BA10+BG10+BD10)</f>
        <v>2321201</v>
      </c>
      <c r="BK10" s="278">
        <f t="shared" ref="BK10" si="4">SUM(G10+J10+M10+P10+S10+V10+Y10+AB10+AE10+AJ10+AM10+AP10+AS10+AV10+AY10+BB10+BH10+BE10)</f>
        <v>2321201</v>
      </c>
    </row>
    <row r="11" spans="1:63" ht="15.75" x14ac:dyDescent="0.2">
      <c r="A11" s="274" t="s">
        <v>365</v>
      </c>
      <c r="B11" s="280" t="s">
        <v>477</v>
      </c>
      <c r="C11" s="279" t="s">
        <v>169</v>
      </c>
      <c r="D11" s="270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  <c r="T11" s="277"/>
      <c r="U11" s="277"/>
      <c r="V11" s="277"/>
      <c r="W11" s="277"/>
      <c r="X11" s="277"/>
      <c r="Y11" s="277"/>
      <c r="Z11" s="277"/>
      <c r="AA11" s="277"/>
      <c r="AB11" s="277"/>
      <c r="AC11" s="277"/>
      <c r="AD11" s="277"/>
      <c r="AE11" s="277"/>
      <c r="AF11" s="274" t="s">
        <v>365</v>
      </c>
      <c r="AG11" s="280" t="s">
        <v>477</v>
      </c>
      <c r="AH11" s="277"/>
      <c r="AI11" s="277"/>
      <c r="AJ11" s="277"/>
      <c r="AK11" s="277"/>
      <c r="AL11" s="277"/>
      <c r="AM11" s="277"/>
      <c r="AN11" s="277"/>
      <c r="AO11" s="277"/>
      <c r="AP11" s="277"/>
      <c r="AQ11" s="277"/>
      <c r="AR11" s="277"/>
      <c r="AS11" s="277"/>
      <c r="AT11" s="277"/>
      <c r="AU11" s="277"/>
      <c r="AV11" s="277"/>
      <c r="AW11" s="277"/>
      <c r="AX11" s="277"/>
      <c r="AY11" s="277"/>
      <c r="AZ11" s="277"/>
      <c r="BA11" s="277"/>
      <c r="BB11" s="277"/>
      <c r="BC11" s="277"/>
      <c r="BD11" s="277"/>
      <c r="BE11" s="277"/>
      <c r="BF11" s="277">
        <v>14048925</v>
      </c>
      <c r="BG11" s="281">
        <v>14114285</v>
      </c>
      <c r="BH11" s="281">
        <v>14098979</v>
      </c>
      <c r="BI11" s="278">
        <f t="shared" si="0"/>
        <v>14048925</v>
      </c>
      <c r="BJ11" s="278">
        <f t="shared" si="1"/>
        <v>14114285</v>
      </c>
      <c r="BK11" s="278">
        <f t="shared" si="1"/>
        <v>14098979</v>
      </c>
    </row>
    <row r="12" spans="1:63" ht="15.75" x14ac:dyDescent="0.2">
      <c r="A12" s="282" t="s">
        <v>367</v>
      </c>
      <c r="B12" s="283" t="s">
        <v>368</v>
      </c>
      <c r="C12" s="283" t="s">
        <v>169</v>
      </c>
      <c r="D12" s="284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77">
        <v>27482000</v>
      </c>
      <c r="U12" s="277">
        <v>32749643</v>
      </c>
      <c r="V12" s="277">
        <v>32749643</v>
      </c>
      <c r="W12" s="277"/>
      <c r="X12" s="281"/>
      <c r="Y12" s="281"/>
      <c r="Z12" s="281"/>
      <c r="AA12" s="281"/>
      <c r="AB12" s="281"/>
      <c r="AC12" s="281"/>
      <c r="AD12" s="281"/>
      <c r="AE12" s="281"/>
      <c r="AF12" s="282" t="s">
        <v>367</v>
      </c>
      <c r="AG12" s="283" t="s">
        <v>368</v>
      </c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1"/>
      <c r="AS12" s="281"/>
      <c r="AT12" s="281"/>
      <c r="AU12" s="281"/>
      <c r="AV12" s="281"/>
      <c r="AW12" s="281"/>
      <c r="AX12" s="281"/>
      <c r="AY12" s="281"/>
      <c r="AZ12" s="281"/>
      <c r="BA12" s="281"/>
      <c r="BB12" s="281"/>
      <c r="BC12" s="281"/>
      <c r="BD12" s="281"/>
      <c r="BE12" s="281"/>
      <c r="BF12" s="281"/>
      <c r="BG12" s="281"/>
      <c r="BH12" s="281"/>
      <c r="BI12" s="278">
        <f t="shared" si="0"/>
        <v>27482000</v>
      </c>
      <c r="BJ12" s="278">
        <f t="shared" si="1"/>
        <v>32749643</v>
      </c>
      <c r="BK12" s="278">
        <f t="shared" si="1"/>
        <v>32749643</v>
      </c>
    </row>
    <row r="13" spans="1:63" ht="27" customHeight="1" x14ac:dyDescent="0.2">
      <c r="A13" s="285"/>
      <c r="B13" s="286" t="s">
        <v>369</v>
      </c>
      <c r="C13" s="286"/>
      <c r="D13" s="287">
        <f t="shared" ref="D13:AD13" si="5">SUM(D6:D12)</f>
        <v>5</v>
      </c>
      <c r="E13" s="288">
        <f t="shared" ref="E13" si="6">SUM(E6:E12)</f>
        <v>35597754</v>
      </c>
      <c r="F13" s="288">
        <f t="shared" si="5"/>
        <v>35003875</v>
      </c>
      <c r="G13" s="288">
        <f t="shared" ref="G13" si="7">SUM(G6:G12)</f>
        <v>33871534</v>
      </c>
      <c r="H13" s="288">
        <f t="shared" ref="H13" si="8">SUM(H6:H12)</f>
        <v>7641903</v>
      </c>
      <c r="I13" s="288">
        <f t="shared" si="5"/>
        <v>7891970</v>
      </c>
      <c r="J13" s="288">
        <f t="shared" ref="J13" si="9">SUM(J6:J12)</f>
        <v>7343949</v>
      </c>
      <c r="K13" s="288">
        <f t="shared" ref="K13" si="10">SUM(K6:K12)</f>
        <v>65081757</v>
      </c>
      <c r="L13" s="288">
        <f t="shared" si="5"/>
        <v>69283189</v>
      </c>
      <c r="M13" s="288">
        <f t="shared" ref="M13" si="11">SUM(M6:M12)</f>
        <v>49431899</v>
      </c>
      <c r="N13" s="288">
        <f t="shared" si="5"/>
        <v>0</v>
      </c>
      <c r="O13" s="288">
        <f t="shared" si="5"/>
        <v>0</v>
      </c>
      <c r="P13" s="288">
        <f t="shared" ref="P13" si="12">SUM(P6:P12)</f>
        <v>0</v>
      </c>
      <c r="Q13" s="288">
        <f t="shared" si="5"/>
        <v>0</v>
      </c>
      <c r="R13" s="288">
        <f t="shared" si="5"/>
        <v>0</v>
      </c>
      <c r="S13" s="288">
        <f t="shared" ref="S13" si="13">SUM(S6:S12)</f>
        <v>0</v>
      </c>
      <c r="T13" s="288">
        <f t="shared" ref="T13" si="14">SUM(T6:T12)</f>
        <v>27632000</v>
      </c>
      <c r="U13" s="288">
        <f t="shared" si="5"/>
        <v>32899643</v>
      </c>
      <c r="V13" s="288">
        <f t="shared" ref="V13" si="15">SUM(V6:V12)</f>
        <v>32749643</v>
      </c>
      <c r="W13" s="288">
        <f t="shared" si="5"/>
        <v>0</v>
      </c>
      <c r="X13" s="288">
        <f t="shared" si="5"/>
        <v>0</v>
      </c>
      <c r="Y13" s="288">
        <f t="shared" ref="Y13" si="16">SUM(Y6:Y12)</f>
        <v>0</v>
      </c>
      <c r="Z13" s="288">
        <f t="shared" si="5"/>
        <v>3000000</v>
      </c>
      <c r="AA13" s="288">
        <f t="shared" si="5"/>
        <v>3000000</v>
      </c>
      <c r="AB13" s="288">
        <f t="shared" ref="AB13" si="17">SUM(AB6:AB12)</f>
        <v>0</v>
      </c>
      <c r="AC13" s="288">
        <f t="shared" si="5"/>
        <v>255712508</v>
      </c>
      <c r="AD13" s="288">
        <f t="shared" si="5"/>
        <v>538653284</v>
      </c>
      <c r="AE13" s="288">
        <f t="shared" ref="AE13" si="18">SUM(AE6:AE12)</f>
        <v>0</v>
      </c>
      <c r="AF13" s="285"/>
      <c r="AG13" s="286" t="s">
        <v>369</v>
      </c>
      <c r="AH13" s="288">
        <f t="shared" ref="AH13" si="19">SUM(AH6:AH12)</f>
        <v>354165670</v>
      </c>
      <c r="AI13" s="288">
        <f t="shared" ref="AI13:BG13" si="20">SUM(AI6:AI12)</f>
        <v>324721151</v>
      </c>
      <c r="AJ13" s="288">
        <f t="shared" ref="AJ13" si="21">SUM(AJ6:AJ12)</f>
        <v>31965874</v>
      </c>
      <c r="AK13" s="288">
        <f t="shared" ref="AK13" si="22">SUM(AK6:AK12)</f>
        <v>18584750</v>
      </c>
      <c r="AL13" s="288">
        <f t="shared" si="20"/>
        <v>23201977</v>
      </c>
      <c r="AM13" s="288">
        <f t="shared" ref="AM13" si="23">SUM(AM6:AM12)</f>
        <v>6270322</v>
      </c>
      <c r="AN13" s="288">
        <f t="shared" ref="AN13" si="24">SUM(AN6:AN12)</f>
        <v>0</v>
      </c>
      <c r="AO13" s="288">
        <f t="shared" si="20"/>
        <v>21531976</v>
      </c>
      <c r="AP13" s="288">
        <f t="shared" ref="AP13" si="25">SUM(AP6:AP12)</f>
        <v>0</v>
      </c>
      <c r="AQ13" s="288">
        <f t="shared" ref="AQ13" si="26">SUM(AQ6:AQ12)</f>
        <v>0</v>
      </c>
      <c r="AR13" s="288">
        <f t="shared" si="20"/>
        <v>0</v>
      </c>
      <c r="AS13" s="288">
        <f t="shared" ref="AS13" si="27">SUM(AS6:AS12)</f>
        <v>0</v>
      </c>
      <c r="AT13" s="288">
        <f t="shared" ref="AT13" si="28">SUM(AT6:AT12)</f>
        <v>0</v>
      </c>
      <c r="AU13" s="288">
        <f t="shared" si="20"/>
        <v>0</v>
      </c>
      <c r="AV13" s="288">
        <f t="shared" ref="AV13" si="29">SUM(AV6:AV12)</f>
        <v>0</v>
      </c>
      <c r="AW13" s="288">
        <f t="shared" ref="AW13" si="30">SUM(AW6:AW12)</f>
        <v>0</v>
      </c>
      <c r="AX13" s="288">
        <f t="shared" si="20"/>
        <v>0</v>
      </c>
      <c r="AY13" s="288">
        <f t="shared" ref="AY13" si="31">SUM(AY6:AY12)</f>
        <v>0</v>
      </c>
      <c r="AZ13" s="288">
        <f t="shared" ref="AZ13" si="32">SUM(AZ6:AZ12)</f>
        <v>0</v>
      </c>
      <c r="BA13" s="288">
        <f t="shared" si="20"/>
        <v>0</v>
      </c>
      <c r="BB13" s="288">
        <f t="shared" ref="BB13" si="33">SUM(BB6:BB12)</f>
        <v>0</v>
      </c>
      <c r="BC13" s="288">
        <f t="shared" ref="BC13" si="34">SUM(BC6:BC12)</f>
        <v>0</v>
      </c>
      <c r="BD13" s="288">
        <f t="shared" ref="BD13" si="35">SUM(BD6:BD12)</f>
        <v>0</v>
      </c>
      <c r="BE13" s="288">
        <f t="shared" ref="BE13" si="36">SUM(BE6:BE12)</f>
        <v>0</v>
      </c>
      <c r="BF13" s="288">
        <f t="shared" ref="BF13" si="37">SUM(BF6:BF12)</f>
        <v>14048925</v>
      </c>
      <c r="BG13" s="288">
        <f t="shared" si="20"/>
        <v>14114285</v>
      </c>
      <c r="BH13" s="288">
        <f t="shared" ref="BH13" si="38">SUM(BH6:BH12)</f>
        <v>14098979</v>
      </c>
      <c r="BI13" s="288">
        <f t="shared" si="0"/>
        <v>781465267</v>
      </c>
      <c r="BJ13" s="288">
        <f t="shared" si="1"/>
        <v>1070301350</v>
      </c>
      <c r="BK13" s="288">
        <f t="shared" si="1"/>
        <v>175732200</v>
      </c>
    </row>
    <row r="14" spans="1:63" ht="15.75" x14ac:dyDescent="0.2">
      <c r="A14" s="272" t="s">
        <v>370</v>
      </c>
      <c r="B14" s="289" t="s">
        <v>371</v>
      </c>
      <c r="C14" s="289"/>
      <c r="D14" s="290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2" t="s">
        <v>370</v>
      </c>
      <c r="AG14" s="289" t="s">
        <v>371</v>
      </c>
      <c r="AH14" s="277"/>
      <c r="AI14" s="277"/>
      <c r="AJ14" s="277"/>
      <c r="AK14" s="277"/>
      <c r="AL14" s="277"/>
      <c r="AM14" s="277"/>
      <c r="AN14" s="277"/>
      <c r="AO14" s="277"/>
      <c r="AP14" s="277"/>
      <c r="AQ14" s="277"/>
      <c r="AR14" s="277"/>
      <c r="AS14" s="277"/>
      <c r="AT14" s="277"/>
      <c r="AU14" s="277"/>
      <c r="AV14" s="277"/>
      <c r="AW14" s="277"/>
      <c r="AX14" s="277"/>
      <c r="AY14" s="277"/>
      <c r="AZ14" s="277"/>
      <c r="BA14" s="277"/>
      <c r="BB14" s="277"/>
      <c r="BC14" s="277"/>
      <c r="BD14" s="277"/>
      <c r="BE14" s="277"/>
      <c r="BF14" s="277"/>
      <c r="BG14" s="277"/>
      <c r="BH14" s="277"/>
      <c r="BI14" s="278">
        <f t="shared" si="0"/>
        <v>0</v>
      </c>
      <c r="BJ14" s="278">
        <f t="shared" si="1"/>
        <v>0</v>
      </c>
      <c r="BK14" s="278">
        <f t="shared" si="1"/>
        <v>0</v>
      </c>
    </row>
    <row r="15" spans="1:63" ht="15.75" x14ac:dyDescent="0.2">
      <c r="A15" s="282" t="s">
        <v>372</v>
      </c>
      <c r="B15" s="291" t="s">
        <v>373</v>
      </c>
      <c r="C15" s="279" t="s">
        <v>169</v>
      </c>
      <c r="D15" s="270">
        <v>38</v>
      </c>
      <c r="E15" s="277">
        <v>9294420</v>
      </c>
      <c r="F15" s="277">
        <f>9294420-914800</f>
        <v>8379620</v>
      </c>
      <c r="G15" s="277">
        <v>8369348</v>
      </c>
      <c r="H15" s="277">
        <v>1812420</v>
      </c>
      <c r="I15" s="277">
        <v>1741210</v>
      </c>
      <c r="J15" s="277">
        <v>1741210</v>
      </c>
      <c r="K15" s="277"/>
      <c r="L15" s="277">
        <v>227986</v>
      </c>
      <c r="M15" s="277">
        <v>227986</v>
      </c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82" t="s">
        <v>372</v>
      </c>
      <c r="AG15" s="291" t="s">
        <v>373</v>
      </c>
      <c r="AH15" s="277"/>
      <c r="AI15" s="277"/>
      <c r="AJ15" s="277"/>
      <c r="AK15" s="277"/>
      <c r="AL15" s="277"/>
      <c r="AM15" s="277"/>
      <c r="AN15" s="277"/>
      <c r="AO15" s="277"/>
      <c r="AP15" s="277"/>
      <c r="AQ15" s="277"/>
      <c r="AR15" s="277"/>
      <c r="AS15" s="277"/>
      <c r="AT15" s="277"/>
      <c r="AU15" s="277"/>
      <c r="AV15" s="277"/>
      <c r="AW15" s="277"/>
      <c r="AX15" s="277"/>
      <c r="AY15" s="277"/>
      <c r="AZ15" s="277"/>
      <c r="BA15" s="277"/>
      <c r="BB15" s="277"/>
      <c r="BC15" s="277"/>
      <c r="BD15" s="277"/>
      <c r="BE15" s="277"/>
      <c r="BF15" s="277"/>
      <c r="BG15" s="277"/>
      <c r="BH15" s="277"/>
      <c r="BI15" s="278">
        <f t="shared" ref="BI15" si="39">SUM(E15+H15+K15+N15+Q15+T15+W15+Z15+AC15+AH15+AK15+AN15+AQ15+AT15+AW15+AZ15+BF15+BC15)</f>
        <v>11106840</v>
      </c>
      <c r="BJ15" s="278">
        <f t="shared" ref="BJ15" si="40">SUM(F15+I15+L15+O15+R15+U15+X15+AA15+AD15+AI15+AL15+AO15+AR15+AU15+AX15+BA15+BG15+BD15)</f>
        <v>10348816</v>
      </c>
      <c r="BK15" s="278">
        <f t="shared" ref="BK15" si="41">SUM(G15+J15+M15+P15+S15+V15+Y15+AB15+AE15+AJ15+AM15+AP15+AS15+AV15+AY15+BB15+BH15+BE15)</f>
        <v>10338544</v>
      </c>
    </row>
    <row r="16" spans="1:63" ht="15.75" x14ac:dyDescent="0.2">
      <c r="A16" s="282" t="s">
        <v>871</v>
      </c>
      <c r="B16" s="291" t="s">
        <v>886</v>
      </c>
      <c r="C16" s="279" t="s">
        <v>169</v>
      </c>
      <c r="D16" s="270"/>
      <c r="E16" s="277"/>
      <c r="F16" s="277">
        <v>468607</v>
      </c>
      <c r="G16" s="277">
        <v>468607</v>
      </c>
      <c r="H16" s="277"/>
      <c r="I16" s="277"/>
      <c r="J16" s="277"/>
      <c r="K16" s="277">
        <v>26495957</v>
      </c>
      <c r="L16" s="277">
        <v>65974512</v>
      </c>
      <c r="M16" s="277">
        <v>40951468</v>
      </c>
      <c r="N16" s="277"/>
      <c r="O16" s="277"/>
      <c r="P16" s="277"/>
      <c r="Q16" s="277"/>
      <c r="R16" s="277"/>
      <c r="S16" s="277"/>
      <c r="T16" s="277">
        <v>12255000</v>
      </c>
      <c r="U16" s="277">
        <v>15811715</v>
      </c>
      <c r="V16" s="277">
        <v>15811715</v>
      </c>
      <c r="W16" s="277"/>
      <c r="X16" s="277"/>
      <c r="Y16" s="277"/>
      <c r="Z16" s="277"/>
      <c r="AA16" s="277"/>
      <c r="AB16" s="277"/>
      <c r="AC16" s="277"/>
      <c r="AD16" s="277"/>
      <c r="AE16" s="277"/>
      <c r="AF16" s="282" t="s">
        <v>871</v>
      </c>
      <c r="AG16" s="291" t="s">
        <v>886</v>
      </c>
      <c r="AH16" s="277">
        <v>172962716</v>
      </c>
      <c r="AI16" s="277">
        <v>172962716</v>
      </c>
      <c r="AJ16" s="277">
        <v>167238454</v>
      </c>
      <c r="AK16" s="277"/>
      <c r="AL16" s="277"/>
      <c r="AM16" s="277"/>
      <c r="AN16" s="277"/>
      <c r="AO16" s="277"/>
      <c r="AP16" s="277"/>
      <c r="AQ16" s="277"/>
      <c r="AR16" s="277"/>
      <c r="AS16" s="277"/>
      <c r="AT16" s="277"/>
      <c r="AU16" s="277"/>
      <c r="AV16" s="277"/>
      <c r="AW16" s="277"/>
      <c r="AX16" s="277"/>
      <c r="AY16" s="277"/>
      <c r="AZ16" s="277"/>
      <c r="BA16" s="277"/>
      <c r="BB16" s="277"/>
      <c r="BC16" s="277"/>
      <c r="BD16" s="277"/>
      <c r="BE16" s="277"/>
      <c r="BF16" s="277"/>
      <c r="BG16" s="277"/>
      <c r="BH16" s="277"/>
      <c r="BI16" s="278">
        <f t="shared" si="0"/>
        <v>211713673</v>
      </c>
      <c r="BJ16" s="278">
        <f t="shared" si="1"/>
        <v>255217550</v>
      </c>
      <c r="BK16" s="278">
        <f t="shared" si="1"/>
        <v>224470244</v>
      </c>
    </row>
    <row r="17" spans="1:63" ht="30" customHeight="1" x14ac:dyDescent="0.2">
      <c r="A17" s="274" t="s">
        <v>374</v>
      </c>
      <c r="B17" s="279" t="s">
        <v>478</v>
      </c>
      <c r="C17" s="279" t="s">
        <v>169</v>
      </c>
      <c r="D17" s="270"/>
      <c r="E17" s="277"/>
      <c r="F17" s="277"/>
      <c r="G17" s="277"/>
      <c r="H17" s="277"/>
      <c r="I17" s="277"/>
      <c r="J17" s="277"/>
      <c r="K17" s="277">
        <v>5000000</v>
      </c>
      <c r="L17" s="277">
        <v>2451200</v>
      </c>
      <c r="M17" s="277">
        <v>2302350</v>
      </c>
      <c r="N17" s="277"/>
      <c r="O17" s="277"/>
      <c r="P17" s="277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>
        <v>200000</v>
      </c>
      <c r="AB17" s="277">
        <v>200000</v>
      </c>
      <c r="AC17" s="277"/>
      <c r="AD17" s="277"/>
      <c r="AE17" s="277"/>
      <c r="AF17" s="274" t="s">
        <v>374</v>
      </c>
      <c r="AG17" s="279" t="s">
        <v>478</v>
      </c>
      <c r="AH17" s="277">
        <v>37784184</v>
      </c>
      <c r="AI17" s="277">
        <v>23688872</v>
      </c>
      <c r="AJ17" s="277">
        <v>2554925</v>
      </c>
      <c r="AK17" s="277">
        <v>14258926</v>
      </c>
      <c r="AL17" s="277">
        <f>'5.sz.m.-Beruházás és felújítás'!C75+3075915</f>
        <v>17334841</v>
      </c>
      <c r="AM17" s="277"/>
      <c r="AN17" s="277"/>
      <c r="AO17" s="277"/>
      <c r="AP17" s="277"/>
      <c r="AQ17" s="277"/>
      <c r="AR17" s="277"/>
      <c r="AS17" s="277"/>
      <c r="AT17" s="277"/>
      <c r="AU17" s="277"/>
      <c r="AV17" s="277"/>
      <c r="AW17" s="277"/>
      <c r="AX17" s="277"/>
      <c r="AY17" s="277"/>
      <c r="AZ17" s="277"/>
      <c r="BA17" s="277"/>
      <c r="BB17" s="277"/>
      <c r="BC17" s="277"/>
      <c r="BD17" s="277"/>
      <c r="BE17" s="277"/>
      <c r="BF17" s="277"/>
      <c r="BG17" s="277"/>
      <c r="BH17" s="277"/>
      <c r="BI17" s="278">
        <f t="shared" si="0"/>
        <v>57043110</v>
      </c>
      <c r="BJ17" s="278">
        <f t="shared" si="1"/>
        <v>43674913</v>
      </c>
      <c r="BK17" s="278">
        <f t="shared" si="1"/>
        <v>5057275</v>
      </c>
    </row>
    <row r="18" spans="1:63" ht="15.75" x14ac:dyDescent="0.2">
      <c r="A18" s="274" t="s">
        <v>873</v>
      </c>
      <c r="B18" s="279" t="s">
        <v>887</v>
      </c>
      <c r="C18" s="279" t="s">
        <v>169</v>
      </c>
      <c r="D18" s="270"/>
      <c r="E18" s="277"/>
      <c r="F18" s="277"/>
      <c r="G18" s="277"/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4" t="s">
        <v>873</v>
      </c>
      <c r="AG18" s="279" t="s">
        <v>887</v>
      </c>
      <c r="AH18" s="277"/>
      <c r="AI18" s="277">
        <v>16510000</v>
      </c>
      <c r="AJ18" s="277">
        <v>16510000</v>
      </c>
      <c r="AK18" s="277"/>
      <c r="AL18" s="277"/>
      <c r="AM18" s="277"/>
      <c r="AN18" s="277"/>
      <c r="AO18" s="277"/>
      <c r="AP18" s="277"/>
      <c r="AQ18" s="277"/>
      <c r="AR18" s="277"/>
      <c r="AS18" s="277"/>
      <c r="AT18" s="277"/>
      <c r="AU18" s="277"/>
      <c r="AV18" s="277"/>
      <c r="AW18" s="277"/>
      <c r="AX18" s="277"/>
      <c r="AY18" s="277"/>
      <c r="AZ18" s="277"/>
      <c r="BA18" s="277"/>
      <c r="BB18" s="277"/>
      <c r="BC18" s="277"/>
      <c r="BD18" s="277"/>
      <c r="BE18" s="277"/>
      <c r="BF18" s="277"/>
      <c r="BG18" s="277"/>
      <c r="BH18" s="277"/>
      <c r="BI18" s="278">
        <f t="shared" ref="BI18" si="42">SUM(E18+H18+K18+N18+Q18+T18+W18+Z18+AC18+AH18+AK18+AN18+AQ18+AT18+AW18+AZ18+BF18+BC18)</f>
        <v>0</v>
      </c>
      <c r="BJ18" s="278">
        <f t="shared" ref="BJ18" si="43">SUM(F18+I18+L18+O18+R18+U18+X18+AA18+AD18+AI18+AL18+AO18+AR18+AU18+AX18+BA18+BG18+BD18)</f>
        <v>16510000</v>
      </c>
      <c r="BK18" s="278">
        <f t="shared" ref="BK18" si="44">SUM(G18+J18+M18+P18+S18+V18+Y18+AB18+AE18+AJ18+AM18+AP18+AS18+AV18+AY18+BB18+BH18+BE18)</f>
        <v>16510000</v>
      </c>
    </row>
    <row r="19" spans="1:63" ht="19.5" customHeight="1" x14ac:dyDescent="0.2">
      <c r="A19" s="274" t="s">
        <v>376</v>
      </c>
      <c r="B19" s="279" t="s">
        <v>377</v>
      </c>
      <c r="C19" s="279" t="s">
        <v>169</v>
      </c>
      <c r="D19" s="270"/>
      <c r="E19" s="277"/>
      <c r="F19" s="277"/>
      <c r="G19" s="277"/>
      <c r="H19" s="277"/>
      <c r="I19" s="277"/>
      <c r="J19" s="277"/>
      <c r="K19" s="277">
        <v>400000</v>
      </c>
      <c r="L19" s="277">
        <v>5283645</v>
      </c>
      <c r="M19" s="277">
        <v>5283645</v>
      </c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4" t="s">
        <v>376</v>
      </c>
      <c r="AG19" s="279" t="s">
        <v>377</v>
      </c>
      <c r="AH19" s="277"/>
      <c r="AI19" s="277">
        <v>16588873</v>
      </c>
      <c r="AJ19" s="277">
        <v>16588873</v>
      </c>
      <c r="AK19" s="277"/>
      <c r="AL19" s="277"/>
      <c r="AM19" s="277"/>
      <c r="AN19" s="277"/>
      <c r="AO19" s="277"/>
      <c r="AP19" s="277"/>
      <c r="AQ19" s="277"/>
      <c r="AR19" s="277"/>
      <c r="AS19" s="277"/>
      <c r="AT19" s="277"/>
      <c r="AU19" s="277"/>
      <c r="AV19" s="277"/>
      <c r="AW19" s="277"/>
      <c r="AX19" s="277"/>
      <c r="AY19" s="277"/>
      <c r="AZ19" s="277"/>
      <c r="BA19" s="277"/>
      <c r="BB19" s="277"/>
      <c r="BC19" s="277"/>
      <c r="BD19" s="277"/>
      <c r="BE19" s="277"/>
      <c r="BF19" s="277"/>
      <c r="BG19" s="277"/>
      <c r="BH19" s="277"/>
      <c r="BI19" s="278">
        <f t="shared" si="0"/>
        <v>400000</v>
      </c>
      <c r="BJ19" s="278">
        <f t="shared" si="1"/>
        <v>21872518</v>
      </c>
      <c r="BK19" s="278">
        <f t="shared" si="1"/>
        <v>21872518</v>
      </c>
    </row>
    <row r="20" spans="1:63" ht="27" customHeight="1" x14ac:dyDescent="0.2">
      <c r="A20" s="285"/>
      <c r="B20" s="293" t="s">
        <v>378</v>
      </c>
      <c r="C20" s="293"/>
      <c r="D20" s="287">
        <f t="shared" ref="D20:AD20" si="45">SUM(D15:D19)</f>
        <v>38</v>
      </c>
      <c r="E20" s="288">
        <f t="shared" ref="E20" si="46">SUM(E15:E19)</f>
        <v>9294420</v>
      </c>
      <c r="F20" s="288">
        <f t="shared" si="45"/>
        <v>8848227</v>
      </c>
      <c r="G20" s="288">
        <f t="shared" ref="G20" si="47">SUM(G15:G19)</f>
        <v>8837955</v>
      </c>
      <c r="H20" s="288">
        <f t="shared" ref="H20" si="48">SUM(H15:H19)</f>
        <v>1812420</v>
      </c>
      <c r="I20" s="288">
        <f t="shared" si="45"/>
        <v>1741210</v>
      </c>
      <c r="J20" s="288">
        <f t="shared" ref="J20" si="49">SUM(J15:J19)</f>
        <v>1741210</v>
      </c>
      <c r="K20" s="288">
        <f t="shared" ref="K20" si="50">SUM(K15:K19)</f>
        <v>31895957</v>
      </c>
      <c r="L20" s="288">
        <f t="shared" si="45"/>
        <v>73937343</v>
      </c>
      <c r="M20" s="288">
        <f t="shared" ref="M20" si="51">SUM(M15:M19)</f>
        <v>48765449</v>
      </c>
      <c r="N20" s="288">
        <f t="shared" si="45"/>
        <v>0</v>
      </c>
      <c r="O20" s="288">
        <f t="shared" si="45"/>
        <v>0</v>
      </c>
      <c r="P20" s="288">
        <f t="shared" ref="P20" si="52">SUM(P15:P19)</f>
        <v>0</v>
      </c>
      <c r="Q20" s="288">
        <f t="shared" si="45"/>
        <v>0</v>
      </c>
      <c r="R20" s="288">
        <f t="shared" si="45"/>
        <v>0</v>
      </c>
      <c r="S20" s="288">
        <f t="shared" ref="S20" si="53">SUM(S15:S19)</f>
        <v>0</v>
      </c>
      <c r="T20" s="288">
        <f t="shared" ref="T20" si="54">SUM(T15:T19)</f>
        <v>12255000</v>
      </c>
      <c r="U20" s="288">
        <f t="shared" si="45"/>
        <v>15811715</v>
      </c>
      <c r="V20" s="288">
        <f t="shared" ref="V20" si="55">SUM(V15:V19)</f>
        <v>15811715</v>
      </c>
      <c r="W20" s="288">
        <f t="shared" si="45"/>
        <v>0</v>
      </c>
      <c r="X20" s="288">
        <f t="shared" si="45"/>
        <v>0</v>
      </c>
      <c r="Y20" s="288">
        <f t="shared" ref="Y20" si="56">SUM(Y15:Y19)</f>
        <v>0</v>
      </c>
      <c r="Z20" s="288">
        <f t="shared" si="45"/>
        <v>0</v>
      </c>
      <c r="AA20" s="288">
        <f t="shared" si="45"/>
        <v>200000</v>
      </c>
      <c r="AB20" s="288">
        <f t="shared" ref="AB20" si="57">SUM(AB15:AB19)</f>
        <v>200000</v>
      </c>
      <c r="AC20" s="288">
        <f t="shared" si="45"/>
        <v>0</v>
      </c>
      <c r="AD20" s="288">
        <f t="shared" si="45"/>
        <v>0</v>
      </c>
      <c r="AE20" s="288">
        <f t="shared" ref="AE20" si="58">SUM(AE15:AE19)</f>
        <v>0</v>
      </c>
      <c r="AF20" s="285"/>
      <c r="AG20" s="293" t="s">
        <v>378</v>
      </c>
      <c r="AH20" s="288">
        <f t="shared" ref="AH20" si="59">SUM(AH15:AH19)</f>
        <v>210746900</v>
      </c>
      <c r="AI20" s="288">
        <f t="shared" ref="AI20:BG20" si="60">SUM(AI15:AI19)</f>
        <v>229750461</v>
      </c>
      <c r="AJ20" s="288">
        <f t="shared" ref="AJ20" si="61">SUM(AJ15:AJ19)</f>
        <v>202892252</v>
      </c>
      <c r="AK20" s="288">
        <f t="shared" ref="AK20" si="62">SUM(AK15:AK19)</f>
        <v>14258926</v>
      </c>
      <c r="AL20" s="288">
        <f t="shared" si="60"/>
        <v>17334841</v>
      </c>
      <c r="AM20" s="288">
        <f t="shared" ref="AM20" si="63">SUM(AM15:AM19)</f>
        <v>0</v>
      </c>
      <c r="AN20" s="288">
        <f t="shared" ref="AN20" si="64">SUM(AN15:AN19)</f>
        <v>0</v>
      </c>
      <c r="AO20" s="288">
        <f t="shared" si="60"/>
        <v>0</v>
      </c>
      <c r="AP20" s="288">
        <f t="shared" ref="AP20" si="65">SUM(AP15:AP19)</f>
        <v>0</v>
      </c>
      <c r="AQ20" s="288">
        <f t="shared" ref="AQ20" si="66">SUM(AQ15:AQ19)</f>
        <v>0</v>
      </c>
      <c r="AR20" s="288">
        <f t="shared" si="60"/>
        <v>0</v>
      </c>
      <c r="AS20" s="288">
        <f t="shared" ref="AS20" si="67">SUM(AS15:AS19)</f>
        <v>0</v>
      </c>
      <c r="AT20" s="288">
        <f t="shared" ref="AT20" si="68">SUM(AT15:AT19)</f>
        <v>0</v>
      </c>
      <c r="AU20" s="288">
        <f t="shared" si="60"/>
        <v>0</v>
      </c>
      <c r="AV20" s="288">
        <f t="shared" ref="AV20" si="69">SUM(AV15:AV19)</f>
        <v>0</v>
      </c>
      <c r="AW20" s="288">
        <f t="shared" ref="AW20" si="70">SUM(AW15:AW19)</f>
        <v>0</v>
      </c>
      <c r="AX20" s="288">
        <f t="shared" si="60"/>
        <v>0</v>
      </c>
      <c r="AY20" s="288">
        <f t="shared" ref="AY20" si="71">SUM(AY15:AY19)</f>
        <v>0</v>
      </c>
      <c r="AZ20" s="288">
        <f t="shared" ref="AZ20" si="72">SUM(AZ15:AZ19)</f>
        <v>0</v>
      </c>
      <c r="BA20" s="288">
        <f t="shared" si="60"/>
        <v>0</v>
      </c>
      <c r="BB20" s="288">
        <f t="shared" ref="BB20" si="73">SUM(BB15:BB19)</f>
        <v>0</v>
      </c>
      <c r="BC20" s="288">
        <f t="shared" ref="BC20" si="74">SUM(BC15:BC19)</f>
        <v>0</v>
      </c>
      <c r="BD20" s="288">
        <f t="shared" si="60"/>
        <v>0</v>
      </c>
      <c r="BE20" s="288">
        <f t="shared" ref="BE20" si="75">SUM(BE15:BE19)</f>
        <v>0</v>
      </c>
      <c r="BF20" s="288">
        <f t="shared" ref="BF20" si="76">SUM(BF15:BF19)</f>
        <v>0</v>
      </c>
      <c r="BG20" s="288">
        <f t="shared" si="60"/>
        <v>0</v>
      </c>
      <c r="BH20" s="288">
        <f t="shared" ref="BH20" si="77">SUM(BH15:BH19)</f>
        <v>0</v>
      </c>
      <c r="BI20" s="288">
        <f t="shared" si="0"/>
        <v>280263623</v>
      </c>
      <c r="BJ20" s="288">
        <f t="shared" si="1"/>
        <v>347623797</v>
      </c>
      <c r="BK20" s="288">
        <f t="shared" si="1"/>
        <v>278248581</v>
      </c>
    </row>
    <row r="21" spans="1:63" ht="15.75" x14ac:dyDescent="0.2">
      <c r="A21" s="294" t="s">
        <v>379</v>
      </c>
      <c r="B21" s="272" t="s">
        <v>380</v>
      </c>
      <c r="C21" s="272"/>
      <c r="D21" s="271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94" t="s">
        <v>379</v>
      </c>
      <c r="AG21" s="272" t="s">
        <v>380</v>
      </c>
      <c r="AH21" s="277"/>
      <c r="AI21" s="277"/>
      <c r="AJ21" s="277"/>
      <c r="AK21" s="277"/>
      <c r="AL21" s="277"/>
      <c r="AM21" s="277"/>
      <c r="AN21" s="277"/>
      <c r="AO21" s="277"/>
      <c r="AP21" s="277"/>
      <c r="AQ21" s="277"/>
      <c r="AR21" s="277"/>
      <c r="AS21" s="277"/>
      <c r="AT21" s="277"/>
      <c r="AU21" s="277"/>
      <c r="AV21" s="277"/>
      <c r="AW21" s="277"/>
      <c r="AX21" s="277"/>
      <c r="AY21" s="277"/>
      <c r="AZ21" s="277"/>
      <c r="BA21" s="277"/>
      <c r="BB21" s="277"/>
      <c r="BC21" s="277"/>
      <c r="BD21" s="277"/>
      <c r="BE21" s="277"/>
      <c r="BF21" s="277"/>
      <c r="BG21" s="277"/>
      <c r="BH21" s="277"/>
      <c r="BI21" s="278">
        <f t="shared" si="0"/>
        <v>0</v>
      </c>
      <c r="BJ21" s="278">
        <f t="shared" si="1"/>
        <v>0</v>
      </c>
      <c r="BK21" s="278">
        <f t="shared" si="1"/>
        <v>0</v>
      </c>
    </row>
    <row r="22" spans="1:63" ht="15.75" x14ac:dyDescent="0.2">
      <c r="A22" s="274" t="s">
        <v>381</v>
      </c>
      <c r="B22" s="279" t="s">
        <v>382</v>
      </c>
      <c r="C22" s="279" t="s">
        <v>169</v>
      </c>
      <c r="D22" s="270"/>
      <c r="E22" s="278"/>
      <c r="F22" s="278"/>
      <c r="G22" s="278"/>
      <c r="H22" s="278"/>
      <c r="I22" s="278"/>
      <c r="J22" s="278"/>
      <c r="K22" s="277">
        <v>63346000</v>
      </c>
      <c r="L22" s="277">
        <v>63346000</v>
      </c>
      <c r="M22" s="277">
        <v>60239948</v>
      </c>
      <c r="N22" s="277"/>
      <c r="O22" s="277"/>
      <c r="P22" s="278"/>
      <c r="Q22" s="277"/>
      <c r="R22" s="277"/>
      <c r="S22" s="278"/>
      <c r="T22" s="278"/>
      <c r="U22" s="278"/>
      <c r="V22" s="278"/>
      <c r="W22" s="277"/>
      <c r="X22" s="278"/>
      <c r="Y22" s="278"/>
      <c r="Z22" s="277"/>
      <c r="AA22" s="278"/>
      <c r="AB22" s="278"/>
      <c r="AC22" s="277"/>
      <c r="AD22" s="278"/>
      <c r="AE22" s="278"/>
      <c r="AF22" s="274" t="s">
        <v>381</v>
      </c>
      <c r="AG22" s="279" t="s">
        <v>382</v>
      </c>
      <c r="AH22" s="277">
        <v>700000</v>
      </c>
      <c r="AI22" s="277">
        <f>'5.sz.m.-Beruházás és felújítás'!C11</f>
        <v>700000</v>
      </c>
      <c r="AJ22" s="278"/>
      <c r="AK22" s="278"/>
      <c r="AL22" s="278"/>
      <c r="AM22" s="278"/>
      <c r="AN22" s="277"/>
      <c r="AO22" s="278"/>
      <c r="AP22" s="278"/>
      <c r="AQ22" s="277"/>
      <c r="AR22" s="278"/>
      <c r="AS22" s="278"/>
      <c r="AT22" s="277"/>
      <c r="AU22" s="278"/>
      <c r="AV22" s="278"/>
      <c r="AW22" s="277"/>
      <c r="AX22" s="278"/>
      <c r="AY22" s="278"/>
      <c r="AZ22" s="277"/>
      <c r="BA22" s="278"/>
      <c r="BB22" s="278"/>
      <c r="BC22" s="277"/>
      <c r="BD22" s="278"/>
      <c r="BE22" s="278"/>
      <c r="BF22" s="277"/>
      <c r="BG22" s="278"/>
      <c r="BH22" s="278"/>
      <c r="BI22" s="278">
        <f t="shared" si="0"/>
        <v>64046000</v>
      </c>
      <c r="BJ22" s="278">
        <f t="shared" si="1"/>
        <v>64046000</v>
      </c>
      <c r="BK22" s="278">
        <f t="shared" si="1"/>
        <v>60239948</v>
      </c>
    </row>
    <row r="23" spans="1:63" ht="15.75" customHeight="1" x14ac:dyDescent="0.2">
      <c r="A23" s="282" t="s">
        <v>383</v>
      </c>
      <c r="B23" s="291" t="s">
        <v>384</v>
      </c>
      <c r="C23" s="291" t="s">
        <v>169</v>
      </c>
      <c r="D23" s="292"/>
      <c r="E23" s="281"/>
      <c r="F23" s="281"/>
      <c r="G23" s="281"/>
      <c r="H23" s="281"/>
      <c r="I23" s="281"/>
      <c r="J23" s="281"/>
      <c r="K23" s="281"/>
      <c r="L23" s="281">
        <v>2535963</v>
      </c>
      <c r="M23" s="281">
        <v>2535963</v>
      </c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2" t="s">
        <v>383</v>
      </c>
      <c r="AG23" s="291" t="s">
        <v>384</v>
      </c>
      <c r="AH23" s="281">
        <v>5898630</v>
      </c>
      <c r="AI23" s="281">
        <f>'5.sz.m.-Beruházás és felújítás'!C25</f>
        <v>5898630</v>
      </c>
      <c r="AJ23" s="281">
        <v>1257300</v>
      </c>
      <c r="AK23" s="281"/>
      <c r="AL23" s="281">
        <v>342125</v>
      </c>
      <c r="AM23" s="281">
        <v>342125</v>
      </c>
      <c r="AN23" s="281"/>
      <c r="AO23" s="281"/>
      <c r="AP23" s="281"/>
      <c r="AQ23" s="281"/>
      <c r="AR23" s="281"/>
      <c r="AS23" s="281"/>
      <c r="AT23" s="281"/>
      <c r="AU23" s="281"/>
      <c r="AV23" s="281"/>
      <c r="AW23" s="281"/>
      <c r="AX23" s="281"/>
      <c r="AY23" s="281"/>
      <c r="AZ23" s="281"/>
      <c r="BA23" s="281"/>
      <c r="BB23" s="281"/>
      <c r="BC23" s="281"/>
      <c r="BD23" s="281"/>
      <c r="BE23" s="281"/>
      <c r="BF23" s="281"/>
      <c r="BG23" s="281"/>
      <c r="BH23" s="281"/>
      <c r="BI23" s="278">
        <f t="shared" si="0"/>
        <v>5898630</v>
      </c>
      <c r="BJ23" s="278">
        <f t="shared" si="1"/>
        <v>8776718</v>
      </c>
      <c r="BK23" s="278">
        <f t="shared" si="1"/>
        <v>4135388</v>
      </c>
    </row>
    <row r="24" spans="1:63" ht="15.75" customHeight="1" x14ac:dyDescent="0.2">
      <c r="A24" s="282" t="s">
        <v>875</v>
      </c>
      <c r="B24" s="291" t="s">
        <v>888</v>
      </c>
      <c r="C24" s="291" t="s">
        <v>169</v>
      </c>
      <c r="D24" s="292"/>
      <c r="E24" s="281"/>
      <c r="F24" s="281"/>
      <c r="G24" s="281"/>
      <c r="H24" s="281"/>
      <c r="I24" s="281"/>
      <c r="J24" s="281"/>
      <c r="K24" s="281"/>
      <c r="L24" s="281">
        <v>305936</v>
      </c>
      <c r="M24" s="281">
        <v>305936</v>
      </c>
      <c r="N24" s="281"/>
      <c r="O24" s="281"/>
      <c r="P24" s="281"/>
      <c r="Q24" s="281"/>
      <c r="R24" s="281"/>
      <c r="S24" s="281"/>
      <c r="T24" s="281"/>
      <c r="U24" s="281"/>
      <c r="V24" s="281"/>
      <c r="W24" s="281"/>
      <c r="X24" s="281"/>
      <c r="Y24" s="281"/>
      <c r="Z24" s="281"/>
      <c r="AA24" s="281"/>
      <c r="AB24" s="281"/>
      <c r="AC24" s="281"/>
      <c r="AD24" s="281"/>
      <c r="AE24" s="281"/>
      <c r="AF24" s="282" t="s">
        <v>875</v>
      </c>
      <c r="AG24" s="291" t="s">
        <v>888</v>
      </c>
      <c r="AH24" s="281"/>
      <c r="AI24" s="281"/>
      <c r="AJ24" s="281"/>
      <c r="AK24" s="281"/>
      <c r="AL24" s="281"/>
      <c r="AM24" s="281"/>
      <c r="AN24" s="281"/>
      <c r="AO24" s="281"/>
      <c r="AP24" s="281"/>
      <c r="AQ24" s="281"/>
      <c r="AR24" s="281"/>
      <c r="AS24" s="281"/>
      <c r="AT24" s="281"/>
      <c r="AU24" s="281"/>
      <c r="AV24" s="281"/>
      <c r="AW24" s="281"/>
      <c r="AX24" s="281"/>
      <c r="AY24" s="281"/>
      <c r="AZ24" s="281"/>
      <c r="BA24" s="281"/>
      <c r="BB24" s="281"/>
      <c r="BC24" s="281"/>
      <c r="BD24" s="281"/>
      <c r="BE24" s="281"/>
      <c r="BF24" s="281"/>
      <c r="BG24" s="281"/>
      <c r="BH24" s="281"/>
      <c r="BI24" s="278">
        <f t="shared" ref="BI24:BI25" si="78">SUM(E24+H24+K24+N24+Q24+T24+W24+Z24+AC24+AH24+AK24+AN24+AQ24+AT24+AW24+AZ24+BF24+BC24)</f>
        <v>0</v>
      </c>
      <c r="BJ24" s="278">
        <f t="shared" ref="BJ24:BJ25" si="79">SUM(F24+I24+L24+O24+R24+U24+X24+AA24+AD24+AI24+AL24+AO24+AR24+AU24+AX24+BA24+BG24+BD24)</f>
        <v>305936</v>
      </c>
      <c r="BK24" s="278">
        <f t="shared" ref="BK24:BK25" si="80">SUM(G24+J24+M24+P24+S24+V24+Y24+AB24+AE24+AJ24+AM24+AP24+AS24+AV24+AY24+BB24+BH24+BE24)</f>
        <v>305936</v>
      </c>
    </row>
    <row r="25" spans="1:63" ht="23.25" customHeight="1" x14ac:dyDescent="0.2">
      <c r="A25" s="285"/>
      <c r="B25" s="293" t="s">
        <v>385</v>
      </c>
      <c r="C25" s="293"/>
      <c r="D25" s="295"/>
      <c r="E25" s="288">
        <f>SUM(E22:E24)</f>
        <v>0</v>
      </c>
      <c r="F25" s="288">
        <f t="shared" ref="F25:AE25" si="81">SUM(F22:F24)</f>
        <v>0</v>
      </c>
      <c r="G25" s="288">
        <f t="shared" si="81"/>
        <v>0</v>
      </c>
      <c r="H25" s="288">
        <f t="shared" si="81"/>
        <v>0</v>
      </c>
      <c r="I25" s="288">
        <f t="shared" si="81"/>
        <v>0</v>
      </c>
      <c r="J25" s="288">
        <f t="shared" si="81"/>
        <v>0</v>
      </c>
      <c r="K25" s="288">
        <f t="shared" si="81"/>
        <v>63346000</v>
      </c>
      <c r="L25" s="288">
        <f t="shared" si="81"/>
        <v>66187899</v>
      </c>
      <c r="M25" s="288">
        <f t="shared" si="81"/>
        <v>63081847</v>
      </c>
      <c r="N25" s="288">
        <f t="shared" si="81"/>
        <v>0</v>
      </c>
      <c r="O25" s="288">
        <f t="shared" si="81"/>
        <v>0</v>
      </c>
      <c r="P25" s="288">
        <f t="shared" si="81"/>
        <v>0</v>
      </c>
      <c r="Q25" s="288">
        <f t="shared" si="81"/>
        <v>0</v>
      </c>
      <c r="R25" s="288">
        <f t="shared" si="81"/>
        <v>0</v>
      </c>
      <c r="S25" s="288">
        <f t="shared" si="81"/>
        <v>0</v>
      </c>
      <c r="T25" s="288">
        <f t="shared" si="81"/>
        <v>0</v>
      </c>
      <c r="U25" s="288">
        <f t="shared" si="81"/>
        <v>0</v>
      </c>
      <c r="V25" s="288">
        <f t="shared" si="81"/>
        <v>0</v>
      </c>
      <c r="W25" s="288">
        <f t="shared" si="81"/>
        <v>0</v>
      </c>
      <c r="X25" s="288">
        <f t="shared" si="81"/>
        <v>0</v>
      </c>
      <c r="Y25" s="288">
        <f t="shared" si="81"/>
        <v>0</v>
      </c>
      <c r="Z25" s="288">
        <f t="shared" si="81"/>
        <v>0</v>
      </c>
      <c r="AA25" s="288">
        <f t="shared" si="81"/>
        <v>0</v>
      </c>
      <c r="AB25" s="288">
        <f t="shared" si="81"/>
        <v>0</v>
      </c>
      <c r="AC25" s="288">
        <f t="shared" si="81"/>
        <v>0</v>
      </c>
      <c r="AD25" s="288">
        <f t="shared" si="81"/>
        <v>0</v>
      </c>
      <c r="AE25" s="288">
        <f t="shared" si="81"/>
        <v>0</v>
      </c>
      <c r="AF25" s="285"/>
      <c r="AG25" s="293" t="s">
        <v>385</v>
      </c>
      <c r="AH25" s="288">
        <f t="shared" ref="AH25:BH25" si="82">SUM(AH22:AH24)</f>
        <v>6598630</v>
      </c>
      <c r="AI25" s="288">
        <f t="shared" si="82"/>
        <v>6598630</v>
      </c>
      <c r="AJ25" s="288">
        <f t="shared" si="82"/>
        <v>1257300</v>
      </c>
      <c r="AK25" s="288">
        <f t="shared" si="82"/>
        <v>0</v>
      </c>
      <c r="AL25" s="288">
        <f t="shared" si="82"/>
        <v>342125</v>
      </c>
      <c r="AM25" s="288">
        <f t="shared" si="82"/>
        <v>342125</v>
      </c>
      <c r="AN25" s="288">
        <f t="shared" si="82"/>
        <v>0</v>
      </c>
      <c r="AO25" s="288">
        <f t="shared" si="82"/>
        <v>0</v>
      </c>
      <c r="AP25" s="288">
        <f t="shared" si="82"/>
        <v>0</v>
      </c>
      <c r="AQ25" s="288">
        <f t="shared" si="82"/>
        <v>0</v>
      </c>
      <c r="AR25" s="288">
        <f t="shared" si="82"/>
        <v>0</v>
      </c>
      <c r="AS25" s="288">
        <f t="shared" si="82"/>
        <v>0</v>
      </c>
      <c r="AT25" s="288">
        <f t="shared" si="82"/>
        <v>0</v>
      </c>
      <c r="AU25" s="288">
        <f t="shared" si="82"/>
        <v>0</v>
      </c>
      <c r="AV25" s="288">
        <f t="shared" si="82"/>
        <v>0</v>
      </c>
      <c r="AW25" s="288">
        <f t="shared" si="82"/>
        <v>0</v>
      </c>
      <c r="AX25" s="288">
        <f t="shared" si="82"/>
        <v>0</v>
      </c>
      <c r="AY25" s="288">
        <f t="shared" si="82"/>
        <v>0</v>
      </c>
      <c r="AZ25" s="288">
        <f t="shared" si="82"/>
        <v>0</v>
      </c>
      <c r="BA25" s="288">
        <f t="shared" si="82"/>
        <v>0</v>
      </c>
      <c r="BB25" s="288">
        <f t="shared" si="82"/>
        <v>0</v>
      </c>
      <c r="BC25" s="288">
        <f t="shared" si="82"/>
        <v>0</v>
      </c>
      <c r="BD25" s="288">
        <f t="shared" si="82"/>
        <v>0</v>
      </c>
      <c r="BE25" s="288">
        <f t="shared" si="82"/>
        <v>0</v>
      </c>
      <c r="BF25" s="288">
        <f t="shared" si="82"/>
        <v>0</v>
      </c>
      <c r="BG25" s="288">
        <f t="shared" si="82"/>
        <v>0</v>
      </c>
      <c r="BH25" s="288">
        <f t="shared" si="82"/>
        <v>0</v>
      </c>
      <c r="BI25" s="288">
        <f t="shared" si="78"/>
        <v>69944630</v>
      </c>
      <c r="BJ25" s="288">
        <f t="shared" si="79"/>
        <v>73128654</v>
      </c>
      <c r="BK25" s="288">
        <f t="shared" si="80"/>
        <v>64681272</v>
      </c>
    </row>
    <row r="26" spans="1:63" ht="15.75" x14ac:dyDescent="0.2">
      <c r="A26" s="294" t="s">
        <v>386</v>
      </c>
      <c r="B26" s="272" t="s">
        <v>387</v>
      </c>
      <c r="C26" s="272"/>
      <c r="D26" s="271"/>
      <c r="E26" s="278"/>
      <c r="F26" s="278"/>
      <c r="G26" s="278"/>
      <c r="H26" s="278"/>
      <c r="I26" s="278"/>
      <c r="J26" s="278"/>
      <c r="K26" s="277"/>
      <c r="L26" s="277"/>
      <c r="M26" s="278"/>
      <c r="N26" s="277"/>
      <c r="O26" s="277"/>
      <c r="P26" s="278"/>
      <c r="Q26" s="277"/>
      <c r="R26" s="277"/>
      <c r="S26" s="278"/>
      <c r="T26" s="278"/>
      <c r="U26" s="278"/>
      <c r="V26" s="278"/>
      <c r="W26" s="277"/>
      <c r="X26" s="278"/>
      <c r="Y26" s="278"/>
      <c r="Z26" s="277"/>
      <c r="AA26" s="278"/>
      <c r="AB26" s="278"/>
      <c r="AC26" s="277"/>
      <c r="AD26" s="278"/>
      <c r="AE26" s="278"/>
      <c r="AF26" s="294" t="s">
        <v>386</v>
      </c>
      <c r="AG26" s="272" t="s">
        <v>387</v>
      </c>
      <c r="AH26" s="278"/>
      <c r="AI26" s="278"/>
      <c r="AJ26" s="278"/>
      <c r="AK26" s="278"/>
      <c r="AL26" s="278"/>
      <c r="AM26" s="278"/>
      <c r="AN26" s="277"/>
      <c r="AO26" s="278"/>
      <c r="AP26" s="278"/>
      <c r="AQ26" s="277"/>
      <c r="AR26" s="278"/>
      <c r="AS26" s="278"/>
      <c r="AT26" s="277"/>
      <c r="AU26" s="278"/>
      <c r="AV26" s="278"/>
      <c r="AW26" s="277"/>
      <c r="AX26" s="278"/>
      <c r="AY26" s="278"/>
      <c r="AZ26" s="277"/>
      <c r="BA26" s="278"/>
      <c r="BB26" s="278"/>
      <c r="BC26" s="277"/>
      <c r="BD26" s="278"/>
      <c r="BE26" s="278"/>
      <c r="BF26" s="277"/>
      <c r="BG26" s="278"/>
      <c r="BH26" s="278"/>
      <c r="BI26" s="278">
        <f t="shared" si="0"/>
        <v>0</v>
      </c>
      <c r="BJ26" s="278">
        <f t="shared" si="1"/>
        <v>0</v>
      </c>
      <c r="BK26" s="278">
        <f t="shared" si="1"/>
        <v>0</v>
      </c>
    </row>
    <row r="27" spans="1:63" ht="15.75" x14ac:dyDescent="0.2">
      <c r="A27" s="282" t="s">
        <v>388</v>
      </c>
      <c r="B27" s="283" t="s">
        <v>389</v>
      </c>
      <c r="C27" s="283" t="s">
        <v>169</v>
      </c>
      <c r="D27" s="284"/>
      <c r="E27" s="296"/>
      <c r="F27" s="296"/>
      <c r="G27" s="296"/>
      <c r="H27" s="296"/>
      <c r="I27" s="296"/>
      <c r="J27" s="296"/>
      <c r="K27" s="281">
        <v>20640</v>
      </c>
      <c r="L27" s="281">
        <v>44283</v>
      </c>
      <c r="M27" s="281">
        <v>44283</v>
      </c>
      <c r="N27" s="281"/>
      <c r="O27" s="296"/>
      <c r="P27" s="296"/>
      <c r="Q27" s="281"/>
      <c r="R27" s="296"/>
      <c r="S27" s="296"/>
      <c r="T27" s="296"/>
      <c r="U27" s="296"/>
      <c r="V27" s="296"/>
      <c r="W27" s="281"/>
      <c r="X27" s="296"/>
      <c r="Y27" s="296"/>
      <c r="Z27" s="281"/>
      <c r="AA27" s="296"/>
      <c r="AB27" s="296"/>
      <c r="AC27" s="281"/>
      <c r="AD27" s="296"/>
      <c r="AE27" s="296"/>
      <c r="AF27" s="282" t="s">
        <v>388</v>
      </c>
      <c r="AG27" s="283" t="s">
        <v>389</v>
      </c>
      <c r="AH27" s="296"/>
      <c r="AI27" s="296"/>
      <c r="AJ27" s="296"/>
      <c r="AK27" s="296"/>
      <c r="AL27" s="296"/>
      <c r="AM27" s="296"/>
      <c r="AN27" s="281"/>
      <c r="AO27" s="296"/>
      <c r="AP27" s="296"/>
      <c r="AQ27" s="281">
        <v>1000000</v>
      </c>
      <c r="AR27" s="281">
        <f>'4.a. sz.m.egyéb műk.kiadás '!D94</f>
        <v>1000000</v>
      </c>
      <c r="AS27" s="281">
        <v>500000</v>
      </c>
      <c r="AT27" s="281">
        <v>600000</v>
      </c>
      <c r="AU27" s="281">
        <f>'4.a. sz.m.egyéb műk.kiadás '!D87</f>
        <v>600000</v>
      </c>
      <c r="AV27" s="281">
        <v>500000</v>
      </c>
      <c r="AW27" s="281"/>
      <c r="AX27" s="281"/>
      <c r="AY27" s="296"/>
      <c r="AZ27" s="281"/>
      <c r="BA27" s="281"/>
      <c r="BB27" s="296"/>
      <c r="BC27" s="281"/>
      <c r="BD27" s="281"/>
      <c r="BE27" s="296"/>
      <c r="BF27" s="281"/>
      <c r="BG27" s="281"/>
      <c r="BH27" s="296"/>
      <c r="BI27" s="278">
        <f t="shared" si="0"/>
        <v>1620640</v>
      </c>
      <c r="BJ27" s="278">
        <f t="shared" si="1"/>
        <v>1644283</v>
      </c>
      <c r="BK27" s="278">
        <f t="shared" si="1"/>
        <v>1044283</v>
      </c>
    </row>
    <row r="28" spans="1:63" ht="15.75" x14ac:dyDescent="0.2">
      <c r="A28" s="282" t="s">
        <v>612</v>
      </c>
      <c r="B28" s="291" t="s">
        <v>390</v>
      </c>
      <c r="C28" s="291" t="s">
        <v>169</v>
      </c>
      <c r="D28" s="292"/>
      <c r="E28" s="281"/>
      <c r="F28" s="281"/>
      <c r="G28" s="281"/>
      <c r="H28" s="281"/>
      <c r="I28" s="281"/>
      <c r="J28" s="281"/>
      <c r="K28" s="281">
        <v>1016000</v>
      </c>
      <c r="L28" s="281">
        <v>1016000</v>
      </c>
      <c r="M28" s="281">
        <v>436587</v>
      </c>
      <c r="N28" s="281"/>
      <c r="O28" s="281"/>
      <c r="P28" s="281"/>
      <c r="Q28" s="281"/>
      <c r="R28" s="281"/>
      <c r="S28" s="281"/>
      <c r="T28" s="281"/>
      <c r="U28" s="281"/>
      <c r="V28" s="281"/>
      <c r="W28" s="281"/>
      <c r="X28" s="281"/>
      <c r="Y28" s="281"/>
      <c r="Z28" s="281"/>
      <c r="AA28" s="281"/>
      <c r="AB28" s="281"/>
      <c r="AC28" s="281"/>
      <c r="AD28" s="281"/>
      <c r="AE28" s="281"/>
      <c r="AF28" s="282" t="s">
        <v>576</v>
      </c>
      <c r="AG28" s="291" t="s">
        <v>390</v>
      </c>
      <c r="AH28" s="281">
        <v>30306470</v>
      </c>
      <c r="AI28" s="281">
        <f>30306470+1022350-1124691</f>
        <v>30204129</v>
      </c>
      <c r="AJ28" s="281">
        <v>28946322</v>
      </c>
      <c r="AK28" s="281"/>
      <c r="AL28" s="281">
        <v>2879600</v>
      </c>
      <c r="AM28" s="281">
        <v>2879600</v>
      </c>
      <c r="AN28" s="281"/>
      <c r="AO28" s="281"/>
      <c r="AP28" s="281"/>
      <c r="AQ28" s="281"/>
      <c r="AR28" s="281"/>
      <c r="AS28" s="281"/>
      <c r="AT28" s="281"/>
      <c r="AU28" s="281"/>
      <c r="AV28" s="281"/>
      <c r="AW28" s="281"/>
      <c r="AX28" s="281"/>
      <c r="AY28" s="281"/>
      <c r="AZ28" s="281"/>
      <c r="BA28" s="281"/>
      <c r="BB28" s="281"/>
      <c r="BC28" s="281"/>
      <c r="BD28" s="281"/>
      <c r="BE28" s="281"/>
      <c r="BF28" s="281"/>
      <c r="BG28" s="281"/>
      <c r="BH28" s="281"/>
      <c r="BI28" s="278">
        <f t="shared" si="0"/>
        <v>31322470</v>
      </c>
      <c r="BJ28" s="278">
        <f t="shared" si="1"/>
        <v>34099729</v>
      </c>
      <c r="BK28" s="278">
        <f t="shared" si="1"/>
        <v>32262509</v>
      </c>
    </row>
    <row r="29" spans="1:63" ht="15.75" x14ac:dyDescent="0.2">
      <c r="A29" s="274" t="s">
        <v>391</v>
      </c>
      <c r="B29" s="279" t="s">
        <v>392</v>
      </c>
      <c r="C29" s="279" t="s">
        <v>169</v>
      </c>
      <c r="D29" s="270"/>
      <c r="E29" s="277"/>
      <c r="F29" s="277"/>
      <c r="G29" s="277"/>
      <c r="H29" s="277"/>
      <c r="I29" s="277"/>
      <c r="J29" s="277"/>
      <c r="K29" s="277">
        <v>14198000</v>
      </c>
      <c r="L29" s="277">
        <v>14198000</v>
      </c>
      <c r="M29" s="277">
        <v>13664153</v>
      </c>
      <c r="N29" s="277"/>
      <c r="O29" s="277"/>
      <c r="P29" s="277"/>
      <c r="Q29" s="277"/>
      <c r="R29" s="277"/>
      <c r="S29" s="277"/>
      <c r="T29" s="277"/>
      <c r="U29" s="277"/>
      <c r="V29" s="277"/>
      <c r="W29" s="277"/>
      <c r="X29" s="277"/>
      <c r="Y29" s="277"/>
      <c r="Z29" s="277"/>
      <c r="AA29" s="277"/>
      <c r="AB29" s="277"/>
      <c r="AC29" s="277"/>
      <c r="AD29" s="277"/>
      <c r="AE29" s="277"/>
      <c r="AF29" s="274" t="s">
        <v>391</v>
      </c>
      <c r="AG29" s="279" t="s">
        <v>392</v>
      </c>
      <c r="AH29" s="277"/>
      <c r="AI29" s="277">
        <v>86944</v>
      </c>
      <c r="AJ29" s="277">
        <v>86944</v>
      </c>
      <c r="AK29" s="277"/>
      <c r="AL29" s="277"/>
      <c r="AM29" s="277"/>
      <c r="AN29" s="277"/>
      <c r="AO29" s="277"/>
      <c r="AP29" s="277"/>
      <c r="AQ29" s="277"/>
      <c r="AR29" s="277"/>
      <c r="AS29" s="277"/>
      <c r="AT29" s="277"/>
      <c r="AU29" s="277"/>
      <c r="AV29" s="277"/>
      <c r="AW29" s="277"/>
      <c r="AX29" s="277"/>
      <c r="AY29" s="277"/>
      <c r="AZ29" s="277"/>
      <c r="BA29" s="277"/>
      <c r="BB29" s="277"/>
      <c r="BC29" s="277"/>
      <c r="BD29" s="277"/>
      <c r="BE29" s="277"/>
      <c r="BF29" s="277"/>
      <c r="BG29" s="277"/>
      <c r="BH29" s="277"/>
      <c r="BI29" s="278">
        <f t="shared" si="0"/>
        <v>14198000</v>
      </c>
      <c r="BJ29" s="278">
        <f t="shared" si="1"/>
        <v>14284944</v>
      </c>
      <c r="BK29" s="278">
        <f t="shared" si="1"/>
        <v>13751097</v>
      </c>
    </row>
    <row r="30" spans="1:63" ht="15.75" x14ac:dyDescent="0.2">
      <c r="A30" s="274" t="s">
        <v>393</v>
      </c>
      <c r="B30" s="279" t="s">
        <v>394</v>
      </c>
      <c r="C30" s="279" t="s">
        <v>169</v>
      </c>
      <c r="D30" s="270"/>
      <c r="E30" s="277"/>
      <c r="F30" s="277"/>
      <c r="G30" s="277"/>
      <c r="H30" s="277"/>
      <c r="I30" s="277"/>
      <c r="J30" s="277"/>
      <c r="K30" s="277">
        <v>108113000</v>
      </c>
      <c r="L30" s="277">
        <v>94978344</v>
      </c>
      <c r="M30" s="277">
        <v>94717952</v>
      </c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7"/>
      <c r="Y30" s="277"/>
      <c r="Z30" s="277"/>
      <c r="AA30" s="277"/>
      <c r="AB30" s="277"/>
      <c r="AC30" s="277"/>
      <c r="AD30" s="277"/>
      <c r="AE30" s="277"/>
      <c r="AF30" s="274" t="s">
        <v>393</v>
      </c>
      <c r="AG30" s="279" t="s">
        <v>394</v>
      </c>
      <c r="AH30" s="277">
        <v>1905000</v>
      </c>
      <c r="AI30" s="277">
        <f>'5.sz.m.-Beruházás és felújítás'!C12</f>
        <v>1905000</v>
      </c>
      <c r="AJ30" s="277">
        <v>236370</v>
      </c>
      <c r="AK30" s="277"/>
      <c r="AL30" s="277"/>
      <c r="AM30" s="277"/>
      <c r="AN30" s="277"/>
      <c r="AO30" s="277"/>
      <c r="AP30" s="277"/>
      <c r="AQ30" s="277"/>
      <c r="AR30" s="277"/>
      <c r="AS30" s="277"/>
      <c r="AT30" s="277"/>
      <c r="AU30" s="277"/>
      <c r="AV30" s="277"/>
      <c r="AW30" s="277"/>
      <c r="AX30" s="277"/>
      <c r="AY30" s="277"/>
      <c r="AZ30" s="277"/>
      <c r="BA30" s="277"/>
      <c r="BB30" s="277"/>
      <c r="BC30" s="277"/>
      <c r="BD30" s="277"/>
      <c r="BE30" s="277"/>
      <c r="BF30" s="277"/>
      <c r="BG30" s="277"/>
      <c r="BH30" s="277"/>
      <c r="BI30" s="278">
        <f t="shared" si="0"/>
        <v>110018000</v>
      </c>
      <c r="BJ30" s="278">
        <f t="shared" si="1"/>
        <v>96883344</v>
      </c>
      <c r="BK30" s="278">
        <f t="shared" si="1"/>
        <v>94954322</v>
      </c>
    </row>
    <row r="31" spans="1:63" ht="15.75" x14ac:dyDescent="0.2">
      <c r="A31" s="274" t="s">
        <v>395</v>
      </c>
      <c r="B31" s="279" t="s">
        <v>396</v>
      </c>
      <c r="C31" s="279" t="s">
        <v>169</v>
      </c>
      <c r="D31" s="270"/>
      <c r="E31" s="277"/>
      <c r="F31" s="277"/>
      <c r="G31" s="277"/>
      <c r="H31" s="277"/>
      <c r="I31" s="277"/>
      <c r="J31" s="277"/>
      <c r="K31" s="309">
        <v>35598382</v>
      </c>
      <c r="L31" s="309">
        <v>40424858</v>
      </c>
      <c r="M31" s="277">
        <v>40424858</v>
      </c>
      <c r="N31" s="309"/>
      <c r="O31" s="277"/>
      <c r="P31" s="277"/>
      <c r="Q31" s="309"/>
      <c r="R31" s="277"/>
      <c r="S31" s="277"/>
      <c r="T31" s="277"/>
      <c r="U31" s="277"/>
      <c r="V31" s="277"/>
      <c r="W31" s="309"/>
      <c r="X31" s="277"/>
      <c r="Y31" s="277"/>
      <c r="Z31" s="309"/>
      <c r="AA31" s="277">
        <v>8110000</v>
      </c>
      <c r="AB31" s="277">
        <v>8110000</v>
      </c>
      <c r="AC31" s="309"/>
      <c r="AD31" s="277"/>
      <c r="AE31" s="277"/>
      <c r="AF31" s="274" t="s">
        <v>395</v>
      </c>
      <c r="AG31" s="279" t="s">
        <v>396</v>
      </c>
      <c r="AH31" s="277">
        <v>102759675</v>
      </c>
      <c r="AI31" s="277">
        <v>98100920</v>
      </c>
      <c r="AJ31" s="277">
        <v>2938947</v>
      </c>
      <c r="AK31" s="277"/>
      <c r="AL31" s="277"/>
      <c r="AM31" s="277"/>
      <c r="AN31" s="309"/>
      <c r="AO31" s="277"/>
      <c r="AP31" s="277"/>
      <c r="AQ31" s="309"/>
      <c r="AR31" s="277"/>
      <c r="AS31" s="277"/>
      <c r="AT31" s="309"/>
      <c r="AU31" s="277"/>
      <c r="AV31" s="277"/>
      <c r="AW31" s="309">
        <v>13820000</v>
      </c>
      <c r="AX31" s="277">
        <v>13640747</v>
      </c>
      <c r="AY31" s="277">
        <v>3640747</v>
      </c>
      <c r="AZ31" s="309"/>
      <c r="BA31" s="277"/>
      <c r="BB31" s="277"/>
      <c r="BC31" s="309"/>
      <c r="BD31" s="277"/>
      <c r="BE31" s="277"/>
      <c r="BF31" s="309"/>
      <c r="BG31" s="277"/>
      <c r="BH31" s="277"/>
      <c r="BI31" s="278">
        <f t="shared" si="0"/>
        <v>152178057</v>
      </c>
      <c r="BJ31" s="278">
        <f t="shared" si="1"/>
        <v>160276525</v>
      </c>
      <c r="BK31" s="278">
        <f t="shared" si="1"/>
        <v>55114552</v>
      </c>
    </row>
    <row r="32" spans="1:63" ht="15.75" x14ac:dyDescent="0.2">
      <c r="A32" s="274" t="s">
        <v>395</v>
      </c>
      <c r="B32" s="279" t="s">
        <v>396</v>
      </c>
      <c r="C32" s="279" t="s">
        <v>473</v>
      </c>
      <c r="D32" s="270"/>
      <c r="E32" s="277"/>
      <c r="F32" s="277"/>
      <c r="G32" s="277"/>
      <c r="H32" s="277"/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77"/>
      <c r="U32" s="277"/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74" t="s">
        <v>395</v>
      </c>
      <c r="AG32" s="279" t="s">
        <v>396</v>
      </c>
      <c r="AH32" s="277"/>
      <c r="AI32" s="277"/>
      <c r="AJ32" s="277"/>
      <c r="AK32" s="277"/>
      <c r="AL32" s="277"/>
      <c r="AM32" s="277"/>
      <c r="AN32" s="277"/>
      <c r="AO32" s="277"/>
      <c r="AP32" s="277"/>
      <c r="AQ32" s="277"/>
      <c r="AR32" s="277"/>
      <c r="AS32" s="277"/>
      <c r="AT32" s="277"/>
      <c r="AU32" s="277"/>
      <c r="AV32" s="277"/>
      <c r="AW32" s="277"/>
      <c r="AX32" s="277"/>
      <c r="AY32" s="277"/>
      <c r="AZ32" s="277"/>
      <c r="BA32" s="277"/>
      <c r="BB32" s="277"/>
      <c r="BC32" s="277"/>
      <c r="BD32" s="277"/>
      <c r="BE32" s="277"/>
      <c r="BF32" s="277"/>
      <c r="BG32" s="277"/>
      <c r="BH32" s="277"/>
      <c r="BI32" s="278">
        <f t="shared" si="0"/>
        <v>0</v>
      </c>
      <c r="BJ32" s="278">
        <f t="shared" si="1"/>
        <v>0</v>
      </c>
      <c r="BK32" s="278">
        <f t="shared" si="1"/>
        <v>0</v>
      </c>
    </row>
    <row r="33" spans="1:63" ht="15.75" x14ac:dyDescent="0.2">
      <c r="A33" s="285"/>
      <c r="B33" s="293" t="s">
        <v>397</v>
      </c>
      <c r="C33" s="293"/>
      <c r="D33" s="295"/>
      <c r="E33" s="288">
        <f t="shared" ref="E33" si="83">SUM(E27:E32)</f>
        <v>0</v>
      </c>
      <c r="F33" s="288">
        <f t="shared" ref="F33:AD33" si="84">SUM(F27:F32)</f>
        <v>0</v>
      </c>
      <c r="G33" s="288">
        <f t="shared" ref="G33" si="85">SUM(G27:G32)</f>
        <v>0</v>
      </c>
      <c r="H33" s="288">
        <f t="shared" ref="H33" si="86">SUM(H27:H32)</f>
        <v>0</v>
      </c>
      <c r="I33" s="288">
        <f t="shared" si="84"/>
        <v>0</v>
      </c>
      <c r="J33" s="288">
        <f t="shared" ref="J33" si="87">SUM(J27:J32)</f>
        <v>0</v>
      </c>
      <c r="K33" s="288">
        <f t="shared" ref="K33" si="88">SUM(K27:K32)</f>
        <v>158946022</v>
      </c>
      <c r="L33" s="288">
        <f t="shared" si="84"/>
        <v>150661485</v>
      </c>
      <c r="M33" s="288">
        <f t="shared" ref="M33" si="89">SUM(M27:M32)</f>
        <v>149287833</v>
      </c>
      <c r="N33" s="288">
        <f t="shared" si="84"/>
        <v>0</v>
      </c>
      <c r="O33" s="288">
        <f t="shared" si="84"/>
        <v>0</v>
      </c>
      <c r="P33" s="288">
        <f t="shared" ref="P33" si="90">SUM(P27:P32)</f>
        <v>0</v>
      </c>
      <c r="Q33" s="288">
        <f t="shared" si="84"/>
        <v>0</v>
      </c>
      <c r="R33" s="288">
        <f t="shared" si="84"/>
        <v>0</v>
      </c>
      <c r="S33" s="288">
        <f t="shared" ref="S33" si="91">SUM(S27:S32)</f>
        <v>0</v>
      </c>
      <c r="T33" s="288">
        <f t="shared" ref="T33" si="92">SUM(T27:T32)</f>
        <v>0</v>
      </c>
      <c r="U33" s="288">
        <f t="shared" si="84"/>
        <v>0</v>
      </c>
      <c r="V33" s="288">
        <f t="shared" ref="V33" si="93">SUM(V27:V32)</f>
        <v>0</v>
      </c>
      <c r="W33" s="288">
        <f t="shared" si="84"/>
        <v>0</v>
      </c>
      <c r="X33" s="288">
        <f t="shared" si="84"/>
        <v>0</v>
      </c>
      <c r="Y33" s="288">
        <f t="shared" ref="Y33" si="94">SUM(Y27:Y32)</f>
        <v>0</v>
      </c>
      <c r="Z33" s="288">
        <f t="shared" si="84"/>
        <v>0</v>
      </c>
      <c r="AA33" s="288">
        <f t="shared" si="84"/>
        <v>8110000</v>
      </c>
      <c r="AB33" s="288">
        <f t="shared" ref="AB33" si="95">SUM(AB27:AB32)</f>
        <v>8110000</v>
      </c>
      <c r="AC33" s="288">
        <f t="shared" si="84"/>
        <v>0</v>
      </c>
      <c r="AD33" s="288">
        <f t="shared" si="84"/>
        <v>0</v>
      </c>
      <c r="AE33" s="288">
        <f t="shared" ref="AE33" si="96">SUM(AE27:AE32)</f>
        <v>0</v>
      </c>
      <c r="AF33" s="285"/>
      <c r="AG33" s="293" t="s">
        <v>397</v>
      </c>
      <c r="AH33" s="288">
        <f t="shared" ref="AH33" si="97">SUM(AH27:AH32)</f>
        <v>134971145</v>
      </c>
      <c r="AI33" s="288">
        <f t="shared" ref="AI33:BH33" si="98">SUM(AI27:AI32)</f>
        <v>130296993</v>
      </c>
      <c r="AJ33" s="288">
        <f t="shared" si="98"/>
        <v>32208583</v>
      </c>
      <c r="AK33" s="288">
        <f>SUM(AK27:AK32)</f>
        <v>0</v>
      </c>
      <c r="AL33" s="288">
        <f>SUM(AL27:AL32)</f>
        <v>2879600</v>
      </c>
      <c r="AM33" s="288">
        <f t="shared" ref="AM33" si="99">SUM(AM27:AM32)</f>
        <v>2879600</v>
      </c>
      <c r="AN33" s="288">
        <f t="shared" ref="AN33" si="100">SUM(AN27:AN32)</f>
        <v>0</v>
      </c>
      <c r="AO33" s="288">
        <f>SUM(AO27:AO32)</f>
        <v>0</v>
      </c>
      <c r="AP33" s="288">
        <f t="shared" ref="AP33" si="101">SUM(AP27:AP32)</f>
        <v>0</v>
      </c>
      <c r="AQ33" s="288">
        <f t="shared" ref="AQ33" si="102">SUM(AQ27:AQ32)</f>
        <v>1000000</v>
      </c>
      <c r="AR33" s="288">
        <f>SUM(AR27:AR32)</f>
        <v>1000000</v>
      </c>
      <c r="AS33" s="288">
        <f t="shared" ref="AS33" si="103">SUM(AS27:AS32)</f>
        <v>500000</v>
      </c>
      <c r="AT33" s="288">
        <f t="shared" ref="AT33" si="104">SUM(AT27:AT32)</f>
        <v>600000</v>
      </c>
      <c r="AU33" s="288">
        <f>SUM(AU27:AU32)</f>
        <v>600000</v>
      </c>
      <c r="AV33" s="288">
        <f t="shared" ref="AV33" si="105">SUM(AV27:AV32)</f>
        <v>500000</v>
      </c>
      <c r="AW33" s="288">
        <f t="shared" ref="AW33" si="106">SUM(AW27:AW32)</f>
        <v>13820000</v>
      </c>
      <c r="AX33" s="288">
        <f>SUM(AX27:AX32)</f>
        <v>13640747</v>
      </c>
      <c r="AY33" s="288">
        <f t="shared" ref="AY33" si="107">SUM(AY27:AY32)</f>
        <v>3640747</v>
      </c>
      <c r="AZ33" s="288">
        <f t="shared" ref="AZ33" si="108">SUM(AZ27:AZ32)</f>
        <v>0</v>
      </c>
      <c r="BA33" s="288">
        <f t="shared" si="98"/>
        <v>0</v>
      </c>
      <c r="BB33" s="288">
        <f t="shared" si="98"/>
        <v>0</v>
      </c>
      <c r="BC33" s="288">
        <f t="shared" ref="BC33" si="109">SUM(BC27:BC32)</f>
        <v>0</v>
      </c>
      <c r="BD33" s="288">
        <f t="shared" ref="BD33:BE33" si="110">SUM(BD27:BD32)</f>
        <v>0</v>
      </c>
      <c r="BE33" s="288">
        <f t="shared" si="110"/>
        <v>0</v>
      </c>
      <c r="BF33" s="288">
        <f t="shared" ref="BF33" si="111">SUM(BF27:BF32)</f>
        <v>0</v>
      </c>
      <c r="BG33" s="288">
        <f t="shared" si="98"/>
        <v>0</v>
      </c>
      <c r="BH33" s="288">
        <f t="shared" si="98"/>
        <v>0</v>
      </c>
      <c r="BI33" s="288">
        <f t="shared" si="0"/>
        <v>309337167</v>
      </c>
      <c r="BJ33" s="288">
        <f t="shared" si="1"/>
        <v>307188825</v>
      </c>
      <c r="BK33" s="288">
        <f t="shared" si="1"/>
        <v>197126763</v>
      </c>
    </row>
    <row r="34" spans="1:63" ht="15.75" x14ac:dyDescent="0.2">
      <c r="A34" s="294" t="s">
        <v>398</v>
      </c>
      <c r="B34" s="272" t="s">
        <v>399</v>
      </c>
      <c r="C34" s="272"/>
      <c r="D34" s="271"/>
      <c r="E34" s="277"/>
      <c r="F34" s="277"/>
      <c r="G34" s="277"/>
      <c r="H34" s="277"/>
      <c r="I34" s="277"/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77"/>
      <c r="U34" s="277"/>
      <c r="V34" s="277"/>
      <c r="W34" s="277"/>
      <c r="X34" s="277"/>
      <c r="Y34" s="277"/>
      <c r="Z34" s="277"/>
      <c r="AA34" s="277"/>
      <c r="AB34" s="277"/>
      <c r="AC34" s="277"/>
      <c r="AD34" s="277"/>
      <c r="AE34" s="277"/>
      <c r="AF34" s="294" t="s">
        <v>398</v>
      </c>
      <c r="AG34" s="272" t="s">
        <v>399</v>
      </c>
      <c r="AH34" s="277"/>
      <c r="AI34" s="277"/>
      <c r="AJ34" s="277"/>
      <c r="AK34" s="277"/>
      <c r="AL34" s="277"/>
      <c r="AM34" s="277"/>
      <c r="AN34" s="277"/>
      <c r="AO34" s="277"/>
      <c r="AP34" s="277"/>
      <c r="AQ34" s="277"/>
      <c r="AR34" s="277"/>
      <c r="AS34" s="277"/>
      <c r="AT34" s="277"/>
      <c r="AU34" s="277"/>
      <c r="AV34" s="277"/>
      <c r="AW34" s="277"/>
      <c r="AX34" s="277"/>
      <c r="AY34" s="277"/>
      <c r="AZ34" s="277"/>
      <c r="BA34" s="277"/>
      <c r="BB34" s="277"/>
      <c r="BC34" s="277"/>
      <c r="BD34" s="277"/>
      <c r="BE34" s="277"/>
      <c r="BF34" s="277"/>
      <c r="BG34" s="277"/>
      <c r="BH34" s="277"/>
      <c r="BI34" s="278">
        <f t="shared" si="0"/>
        <v>0</v>
      </c>
      <c r="BJ34" s="278">
        <f t="shared" si="1"/>
        <v>0</v>
      </c>
      <c r="BK34" s="278">
        <f t="shared" si="1"/>
        <v>0</v>
      </c>
    </row>
    <row r="35" spans="1:63" ht="15.75" x14ac:dyDescent="0.2">
      <c r="A35" s="274" t="s">
        <v>402</v>
      </c>
      <c r="B35" s="279" t="s">
        <v>403</v>
      </c>
      <c r="C35" s="275" t="s">
        <v>169</v>
      </c>
      <c r="D35" s="276"/>
      <c r="E35" s="277"/>
      <c r="F35" s="277">
        <v>2258136</v>
      </c>
      <c r="G35" s="277">
        <v>2258136</v>
      </c>
      <c r="H35" s="277"/>
      <c r="I35" s="277">
        <v>233015</v>
      </c>
      <c r="J35" s="277">
        <v>231028</v>
      </c>
      <c r="K35" s="277"/>
      <c r="L35" s="277">
        <v>7196700</v>
      </c>
      <c r="M35" s="277">
        <v>5062305</v>
      </c>
      <c r="N35" s="277"/>
      <c r="O35" s="277"/>
      <c r="P35" s="277"/>
      <c r="Q35" s="277"/>
      <c r="R35" s="277"/>
      <c r="S35" s="277"/>
      <c r="T35" s="277">
        <v>11129408</v>
      </c>
      <c r="U35" s="277">
        <f>T35-2782352</f>
        <v>8347056</v>
      </c>
      <c r="V35" s="277">
        <v>8347056</v>
      </c>
      <c r="W35" s="277"/>
      <c r="X35" s="277"/>
      <c r="Y35" s="277"/>
      <c r="Z35" s="277"/>
      <c r="AA35" s="277"/>
      <c r="AB35" s="277"/>
      <c r="AC35" s="277"/>
      <c r="AD35" s="277"/>
      <c r="AE35" s="277"/>
      <c r="AF35" s="274" t="s">
        <v>402</v>
      </c>
      <c r="AG35" s="279" t="s">
        <v>403</v>
      </c>
      <c r="AH35" s="277"/>
      <c r="AI35" s="277">
        <v>65000</v>
      </c>
      <c r="AJ35" s="277">
        <v>65000</v>
      </c>
      <c r="AK35" s="277"/>
      <c r="AL35" s="277"/>
      <c r="AM35" s="277"/>
      <c r="AN35" s="277"/>
      <c r="AO35" s="277"/>
      <c r="AP35" s="277"/>
      <c r="AQ35" s="277"/>
      <c r="AR35" s="277"/>
      <c r="AS35" s="277"/>
      <c r="AT35" s="277"/>
      <c r="AU35" s="277"/>
      <c r="AV35" s="277"/>
      <c r="AW35" s="277"/>
      <c r="AX35" s="277"/>
      <c r="AY35" s="277"/>
      <c r="AZ35" s="277"/>
      <c r="BA35" s="277"/>
      <c r="BB35" s="277"/>
      <c r="BC35" s="277"/>
      <c r="BD35" s="277"/>
      <c r="BE35" s="277"/>
      <c r="BF35" s="277"/>
      <c r="BG35" s="277"/>
      <c r="BH35" s="277"/>
      <c r="BI35" s="278">
        <f t="shared" si="0"/>
        <v>11129408</v>
      </c>
      <c r="BJ35" s="278">
        <f t="shared" si="1"/>
        <v>18099907</v>
      </c>
      <c r="BK35" s="278">
        <f t="shared" si="1"/>
        <v>15963525</v>
      </c>
    </row>
    <row r="36" spans="1:63" ht="15.75" x14ac:dyDescent="0.2">
      <c r="A36" s="274" t="s">
        <v>404</v>
      </c>
      <c r="B36" s="279" t="s">
        <v>405</v>
      </c>
      <c r="C36" s="275" t="s">
        <v>169</v>
      </c>
      <c r="D36" s="276"/>
      <c r="E36" s="277"/>
      <c r="F36" s="277"/>
      <c r="G36" s="277"/>
      <c r="H36" s="277"/>
      <c r="I36" s="277"/>
      <c r="J36" s="277"/>
      <c r="K36" s="277">
        <v>125000</v>
      </c>
      <c r="L36" s="277">
        <v>125000</v>
      </c>
      <c r="M36" s="277">
        <v>125900</v>
      </c>
      <c r="N36" s="277"/>
      <c r="O36" s="277"/>
      <c r="P36" s="277"/>
      <c r="Q36" s="277"/>
      <c r="R36" s="277"/>
      <c r="S36" s="277"/>
      <c r="T36" s="277"/>
      <c r="U36" s="277"/>
      <c r="V36" s="277"/>
      <c r="W36" s="277"/>
      <c r="X36" s="277"/>
      <c r="Y36" s="277"/>
      <c r="Z36" s="277"/>
      <c r="AA36" s="277"/>
      <c r="AB36" s="277"/>
      <c r="AC36" s="277"/>
      <c r="AD36" s="277"/>
      <c r="AE36" s="277"/>
      <c r="AF36" s="274" t="s">
        <v>404</v>
      </c>
      <c r="AG36" s="279" t="s">
        <v>405</v>
      </c>
      <c r="AH36" s="277"/>
      <c r="AI36" s="277"/>
      <c r="AJ36" s="277"/>
      <c r="AK36" s="277"/>
      <c r="AL36" s="277"/>
      <c r="AM36" s="277"/>
      <c r="AN36" s="277"/>
      <c r="AO36" s="277"/>
      <c r="AP36" s="277"/>
      <c r="AQ36" s="277"/>
      <c r="AR36" s="277"/>
      <c r="AS36" s="277"/>
      <c r="AT36" s="277"/>
      <c r="AU36" s="277"/>
      <c r="AV36" s="277"/>
      <c r="AW36" s="277"/>
      <c r="AX36" s="277"/>
      <c r="AY36" s="277"/>
      <c r="AZ36" s="277"/>
      <c r="BA36" s="277"/>
      <c r="BB36" s="277"/>
      <c r="BC36" s="277"/>
      <c r="BD36" s="277"/>
      <c r="BE36" s="277"/>
      <c r="BF36" s="277"/>
      <c r="BG36" s="277"/>
      <c r="BH36" s="277"/>
      <c r="BI36" s="278">
        <f t="shared" si="0"/>
        <v>125000</v>
      </c>
      <c r="BJ36" s="278">
        <f t="shared" si="1"/>
        <v>125000</v>
      </c>
      <c r="BK36" s="278">
        <f t="shared" si="1"/>
        <v>125900</v>
      </c>
    </row>
    <row r="37" spans="1:63" ht="15.75" customHeight="1" x14ac:dyDescent="0.2">
      <c r="A37" s="274" t="s">
        <v>406</v>
      </c>
      <c r="B37" s="279" t="s">
        <v>407</v>
      </c>
      <c r="C37" s="275" t="s">
        <v>169</v>
      </c>
      <c r="D37" s="276">
        <v>1</v>
      </c>
      <c r="E37" s="277">
        <v>3898132</v>
      </c>
      <c r="F37" s="277">
        <v>3868606</v>
      </c>
      <c r="G37" s="277">
        <v>3868606</v>
      </c>
      <c r="H37" s="277">
        <v>791230</v>
      </c>
      <c r="I37" s="277">
        <v>791230</v>
      </c>
      <c r="J37" s="277">
        <v>773968</v>
      </c>
      <c r="K37" s="277">
        <v>695000</v>
      </c>
      <c r="L37" s="277">
        <v>695000</v>
      </c>
      <c r="M37" s="277">
        <v>622148</v>
      </c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277"/>
      <c r="AC37" s="277"/>
      <c r="AD37" s="277"/>
      <c r="AE37" s="277"/>
      <c r="AF37" s="274" t="s">
        <v>406</v>
      </c>
      <c r="AG37" s="279" t="s">
        <v>407</v>
      </c>
      <c r="AH37" s="277"/>
      <c r="AI37" s="277"/>
      <c r="AJ37" s="277"/>
      <c r="AK37" s="277"/>
      <c r="AL37" s="277"/>
      <c r="AM37" s="277"/>
      <c r="AN37" s="277"/>
      <c r="AO37" s="277"/>
      <c r="AP37" s="277"/>
      <c r="AQ37" s="277"/>
      <c r="AR37" s="277"/>
      <c r="AS37" s="277"/>
      <c r="AT37" s="277"/>
      <c r="AU37" s="277"/>
      <c r="AV37" s="277"/>
      <c r="AW37" s="277"/>
      <c r="AX37" s="277"/>
      <c r="AY37" s="277"/>
      <c r="AZ37" s="277"/>
      <c r="BA37" s="277"/>
      <c r="BB37" s="277"/>
      <c r="BC37" s="277"/>
      <c r="BD37" s="277"/>
      <c r="BE37" s="277"/>
      <c r="BF37" s="277"/>
      <c r="BG37" s="277"/>
      <c r="BH37" s="277"/>
      <c r="BI37" s="278">
        <f t="shared" si="0"/>
        <v>5384362</v>
      </c>
      <c r="BJ37" s="278">
        <f t="shared" si="1"/>
        <v>5354836</v>
      </c>
      <c r="BK37" s="278">
        <f t="shared" si="1"/>
        <v>5264722</v>
      </c>
    </row>
    <row r="38" spans="1:63" ht="15.75" x14ac:dyDescent="0.2">
      <c r="A38" s="274" t="s">
        <v>408</v>
      </c>
      <c r="B38" s="279" t="s">
        <v>409</v>
      </c>
      <c r="C38" s="275" t="s">
        <v>169</v>
      </c>
      <c r="D38" s="276"/>
      <c r="E38" s="277"/>
      <c r="F38" s="277"/>
      <c r="G38" s="277"/>
      <c r="H38" s="277"/>
      <c r="I38" s="277"/>
      <c r="J38" s="277"/>
      <c r="K38" s="277">
        <v>153600</v>
      </c>
      <c r="L38" s="277">
        <v>153600</v>
      </c>
      <c r="M38" s="277">
        <v>153600</v>
      </c>
      <c r="N38" s="277"/>
      <c r="O38" s="277"/>
      <c r="P38" s="277"/>
      <c r="Q38" s="277"/>
      <c r="R38" s="277"/>
      <c r="S38" s="277"/>
      <c r="T38" s="277"/>
      <c r="U38" s="277"/>
      <c r="V38" s="277"/>
      <c r="W38" s="277"/>
      <c r="X38" s="277"/>
      <c r="Y38" s="277"/>
      <c r="Z38" s="277"/>
      <c r="AA38" s="277"/>
      <c r="AB38" s="277"/>
      <c r="AC38" s="277"/>
      <c r="AD38" s="277"/>
      <c r="AE38" s="277"/>
      <c r="AF38" s="274" t="s">
        <v>408</v>
      </c>
      <c r="AG38" s="279" t="s">
        <v>409</v>
      </c>
      <c r="AH38" s="277"/>
      <c r="AI38" s="277"/>
      <c r="AJ38" s="277"/>
      <c r="AK38" s="277"/>
      <c r="AL38" s="277"/>
      <c r="AM38" s="277"/>
      <c r="AN38" s="277"/>
      <c r="AO38" s="277"/>
      <c r="AP38" s="277"/>
      <c r="AQ38" s="277"/>
      <c r="AR38" s="277"/>
      <c r="AS38" s="277"/>
      <c r="AT38" s="277"/>
      <c r="AU38" s="277"/>
      <c r="AV38" s="277"/>
      <c r="AW38" s="277"/>
      <c r="AX38" s="277"/>
      <c r="AY38" s="277"/>
      <c r="AZ38" s="277"/>
      <c r="BA38" s="277"/>
      <c r="BB38" s="277"/>
      <c r="BC38" s="277"/>
      <c r="BD38" s="277"/>
      <c r="BE38" s="277"/>
      <c r="BF38" s="277"/>
      <c r="BG38" s="277"/>
      <c r="BH38" s="277"/>
      <c r="BI38" s="278">
        <f t="shared" si="0"/>
        <v>153600</v>
      </c>
      <c r="BJ38" s="278">
        <f t="shared" si="1"/>
        <v>153600</v>
      </c>
      <c r="BK38" s="278">
        <f t="shared" si="1"/>
        <v>153600</v>
      </c>
    </row>
    <row r="39" spans="1:63" ht="15.75" x14ac:dyDescent="0.2">
      <c r="A39" s="285"/>
      <c r="B39" s="293" t="s">
        <v>410</v>
      </c>
      <c r="C39" s="293"/>
      <c r="D39" s="288">
        <f t="shared" ref="D39:AD39" si="112">SUM(D35:D38)</f>
        <v>1</v>
      </c>
      <c r="E39" s="288">
        <f t="shared" ref="E39" si="113">SUM(E35:E38)</f>
        <v>3898132</v>
      </c>
      <c r="F39" s="288">
        <f t="shared" si="112"/>
        <v>6126742</v>
      </c>
      <c r="G39" s="288">
        <f t="shared" ref="G39" si="114">SUM(G35:G38)</f>
        <v>6126742</v>
      </c>
      <c r="H39" s="288">
        <f t="shared" ref="H39" si="115">SUM(H35:H38)</f>
        <v>791230</v>
      </c>
      <c r="I39" s="288">
        <f t="shared" si="112"/>
        <v>1024245</v>
      </c>
      <c r="J39" s="288">
        <f t="shared" ref="J39" si="116">SUM(J35:J38)</f>
        <v>1004996</v>
      </c>
      <c r="K39" s="288">
        <f t="shared" ref="K39" si="117">SUM(K35:K38)</f>
        <v>973600</v>
      </c>
      <c r="L39" s="288">
        <f t="shared" si="112"/>
        <v>8170300</v>
      </c>
      <c r="M39" s="288">
        <f t="shared" ref="M39" si="118">SUM(M35:M38)</f>
        <v>5963953</v>
      </c>
      <c r="N39" s="288">
        <f t="shared" si="112"/>
        <v>0</v>
      </c>
      <c r="O39" s="288">
        <f t="shared" si="112"/>
        <v>0</v>
      </c>
      <c r="P39" s="288">
        <f t="shared" ref="P39" si="119">SUM(P35:P38)</f>
        <v>0</v>
      </c>
      <c r="Q39" s="288">
        <f t="shared" si="112"/>
        <v>0</v>
      </c>
      <c r="R39" s="288">
        <f t="shared" si="112"/>
        <v>0</v>
      </c>
      <c r="S39" s="288">
        <f t="shared" ref="S39" si="120">SUM(S35:S38)</f>
        <v>0</v>
      </c>
      <c r="T39" s="288">
        <f t="shared" ref="T39" si="121">SUM(T35:T38)</f>
        <v>11129408</v>
      </c>
      <c r="U39" s="288">
        <f t="shared" si="112"/>
        <v>8347056</v>
      </c>
      <c r="V39" s="288">
        <f t="shared" ref="V39" si="122">SUM(V35:V38)</f>
        <v>8347056</v>
      </c>
      <c r="W39" s="288">
        <f t="shared" si="112"/>
        <v>0</v>
      </c>
      <c r="X39" s="288">
        <f t="shared" si="112"/>
        <v>0</v>
      </c>
      <c r="Y39" s="288">
        <f t="shared" ref="Y39" si="123">SUM(Y35:Y38)</f>
        <v>0</v>
      </c>
      <c r="Z39" s="288">
        <f t="shared" si="112"/>
        <v>0</v>
      </c>
      <c r="AA39" s="288">
        <f t="shared" si="112"/>
        <v>0</v>
      </c>
      <c r="AB39" s="288">
        <f t="shared" ref="AB39" si="124">SUM(AB35:AB38)</f>
        <v>0</v>
      </c>
      <c r="AC39" s="288">
        <f t="shared" si="112"/>
        <v>0</v>
      </c>
      <c r="AD39" s="288">
        <f t="shared" si="112"/>
        <v>0</v>
      </c>
      <c r="AE39" s="288">
        <f t="shared" ref="AE39" si="125">SUM(AE35:AE38)</f>
        <v>0</v>
      </c>
      <c r="AF39" s="285"/>
      <c r="AG39" s="293" t="s">
        <v>410</v>
      </c>
      <c r="AH39" s="288">
        <f t="shared" ref="AH39" si="126">SUM(AH35:AH38)</f>
        <v>0</v>
      </c>
      <c r="AI39" s="288">
        <f t="shared" ref="AI39:BG39" si="127">SUM(AI35:AI38)</f>
        <v>65000</v>
      </c>
      <c r="AJ39" s="288">
        <f t="shared" ref="AJ39" si="128">SUM(AJ35:AJ38)</f>
        <v>65000</v>
      </c>
      <c r="AK39" s="288">
        <f t="shared" ref="AK39" si="129">SUM(AK35:AK38)</f>
        <v>0</v>
      </c>
      <c r="AL39" s="288">
        <f t="shared" si="127"/>
        <v>0</v>
      </c>
      <c r="AM39" s="288">
        <f t="shared" ref="AM39" si="130">SUM(AM35:AM38)</f>
        <v>0</v>
      </c>
      <c r="AN39" s="288">
        <f t="shared" si="127"/>
        <v>0</v>
      </c>
      <c r="AO39" s="288">
        <f t="shared" si="127"/>
        <v>0</v>
      </c>
      <c r="AP39" s="288">
        <f t="shared" ref="AP39" si="131">SUM(AP35:AP38)</f>
        <v>0</v>
      </c>
      <c r="AQ39" s="288">
        <f t="shared" si="127"/>
        <v>0</v>
      </c>
      <c r="AR39" s="288">
        <f t="shared" si="127"/>
        <v>0</v>
      </c>
      <c r="AS39" s="288">
        <f t="shared" ref="AS39" si="132">SUM(AS35:AS38)</f>
        <v>0</v>
      </c>
      <c r="AT39" s="288">
        <f t="shared" si="127"/>
        <v>0</v>
      </c>
      <c r="AU39" s="288">
        <f t="shared" si="127"/>
        <v>0</v>
      </c>
      <c r="AV39" s="288">
        <f t="shared" ref="AV39" si="133">SUM(AV35:AV38)</f>
        <v>0</v>
      </c>
      <c r="AW39" s="288">
        <f t="shared" si="127"/>
        <v>0</v>
      </c>
      <c r="AX39" s="288">
        <f t="shared" si="127"/>
        <v>0</v>
      </c>
      <c r="AY39" s="288">
        <f t="shared" ref="AY39" si="134">SUM(AY35:AY38)</f>
        <v>0</v>
      </c>
      <c r="AZ39" s="288">
        <f t="shared" si="127"/>
        <v>0</v>
      </c>
      <c r="BA39" s="288">
        <f t="shared" si="127"/>
        <v>0</v>
      </c>
      <c r="BB39" s="288">
        <f t="shared" ref="BB39" si="135">SUM(BB35:BB38)</f>
        <v>0</v>
      </c>
      <c r="BC39" s="288">
        <f t="shared" si="127"/>
        <v>0</v>
      </c>
      <c r="BD39" s="288">
        <f t="shared" si="127"/>
        <v>0</v>
      </c>
      <c r="BE39" s="288">
        <f t="shared" ref="BE39" si="136">SUM(BE35:BE38)</f>
        <v>0</v>
      </c>
      <c r="BF39" s="288">
        <f t="shared" si="127"/>
        <v>0</v>
      </c>
      <c r="BG39" s="288">
        <f t="shared" si="127"/>
        <v>0</v>
      </c>
      <c r="BH39" s="288">
        <f t="shared" ref="BH39" si="137">SUM(BH35:BH38)</f>
        <v>0</v>
      </c>
      <c r="BI39" s="288">
        <f t="shared" si="0"/>
        <v>16792370</v>
      </c>
      <c r="BJ39" s="288">
        <f t="shared" si="1"/>
        <v>23733343</v>
      </c>
      <c r="BK39" s="288">
        <f t="shared" si="1"/>
        <v>21507747</v>
      </c>
    </row>
    <row r="40" spans="1:63" ht="15.75" x14ac:dyDescent="0.2">
      <c r="A40" s="294" t="s">
        <v>411</v>
      </c>
      <c r="B40" s="272" t="s">
        <v>412</v>
      </c>
      <c r="C40" s="272"/>
      <c r="D40" s="271"/>
      <c r="E40" s="277"/>
      <c r="F40" s="277"/>
      <c r="G40" s="277"/>
      <c r="H40" s="277"/>
      <c r="I40" s="277"/>
      <c r="J40" s="277"/>
      <c r="K40" s="277"/>
      <c r="L40" s="277"/>
      <c r="M40" s="277"/>
      <c r="N40" s="277"/>
      <c r="O40" s="277"/>
      <c r="P40" s="277"/>
      <c r="Q40" s="277"/>
      <c r="R40" s="277"/>
      <c r="S40" s="277"/>
      <c r="T40" s="277"/>
      <c r="U40" s="277"/>
      <c r="V40" s="277"/>
      <c r="W40" s="277"/>
      <c r="X40" s="277"/>
      <c r="Y40" s="277"/>
      <c r="Z40" s="277"/>
      <c r="AA40" s="277"/>
      <c r="AB40" s="277"/>
      <c r="AC40" s="277"/>
      <c r="AD40" s="277"/>
      <c r="AE40" s="277"/>
      <c r="AF40" s="294" t="s">
        <v>411</v>
      </c>
      <c r="AG40" s="272" t="s">
        <v>412</v>
      </c>
      <c r="AH40" s="277"/>
      <c r="AI40" s="277"/>
      <c r="AJ40" s="277"/>
      <c r="AK40" s="277"/>
      <c r="AL40" s="277"/>
      <c r="AM40" s="277"/>
      <c r="AN40" s="277"/>
      <c r="AO40" s="277"/>
      <c r="AP40" s="277"/>
      <c r="AQ40" s="277"/>
      <c r="AR40" s="277"/>
      <c r="AS40" s="277"/>
      <c r="AT40" s="277"/>
      <c r="AU40" s="277"/>
      <c r="AV40" s="277"/>
      <c r="AW40" s="277"/>
      <c r="AX40" s="277"/>
      <c r="AY40" s="277"/>
      <c r="AZ40" s="277"/>
      <c r="BA40" s="277"/>
      <c r="BB40" s="277"/>
      <c r="BC40" s="277"/>
      <c r="BD40" s="277"/>
      <c r="BE40" s="277"/>
      <c r="BF40" s="277"/>
      <c r="BG40" s="277"/>
      <c r="BH40" s="277"/>
      <c r="BI40" s="278">
        <f t="shared" si="0"/>
        <v>0</v>
      </c>
      <c r="BJ40" s="278">
        <f t="shared" si="1"/>
        <v>0</v>
      </c>
      <c r="BK40" s="278">
        <f t="shared" si="1"/>
        <v>0</v>
      </c>
    </row>
    <row r="41" spans="1:63" ht="15.75" x14ac:dyDescent="0.2">
      <c r="A41" s="274" t="s">
        <v>413</v>
      </c>
      <c r="B41" s="279" t="s">
        <v>414</v>
      </c>
      <c r="C41" s="279" t="s">
        <v>169</v>
      </c>
      <c r="D41" s="270"/>
      <c r="E41" s="277"/>
      <c r="F41" s="277"/>
      <c r="G41" s="277"/>
      <c r="H41" s="277"/>
      <c r="I41" s="277"/>
      <c r="J41" s="277"/>
      <c r="K41" s="277">
        <v>6373000</v>
      </c>
      <c r="L41" s="277">
        <v>6373000</v>
      </c>
      <c r="M41" s="277">
        <v>5886607</v>
      </c>
      <c r="N41" s="277"/>
      <c r="O41" s="277"/>
      <c r="P41" s="277"/>
      <c r="Q41" s="277"/>
      <c r="R41" s="277"/>
      <c r="S41" s="277"/>
      <c r="T41" s="277"/>
      <c r="U41" s="277"/>
      <c r="V41" s="277"/>
      <c r="W41" s="277"/>
      <c r="X41" s="277"/>
      <c r="Y41" s="277"/>
      <c r="Z41" s="277"/>
      <c r="AA41" s="277"/>
      <c r="AB41" s="277"/>
      <c r="AC41" s="277"/>
      <c r="AD41" s="277"/>
      <c r="AE41" s="277"/>
      <c r="AF41" s="274" t="s">
        <v>413</v>
      </c>
      <c r="AG41" s="279" t="s">
        <v>414</v>
      </c>
      <c r="AH41" s="277">
        <v>21000000</v>
      </c>
      <c r="AI41" s="277">
        <f>'5.sz.m.-Beruházás és felújítás'!C26</f>
        <v>21000000</v>
      </c>
      <c r="AJ41" s="277"/>
      <c r="AK41" s="277"/>
      <c r="AL41" s="277"/>
      <c r="AM41" s="277"/>
      <c r="AN41" s="277"/>
      <c r="AO41" s="277"/>
      <c r="AP41" s="277"/>
      <c r="AQ41" s="277"/>
      <c r="AR41" s="277"/>
      <c r="AS41" s="277"/>
      <c r="AT41" s="277"/>
      <c r="AU41" s="277"/>
      <c r="AV41" s="277"/>
      <c r="AW41" s="277"/>
      <c r="AX41" s="277"/>
      <c r="AY41" s="277"/>
      <c r="AZ41" s="277"/>
      <c r="BA41" s="277"/>
      <c r="BB41" s="277"/>
      <c r="BC41" s="277"/>
      <c r="BD41" s="277"/>
      <c r="BE41" s="277"/>
      <c r="BF41" s="277"/>
      <c r="BG41" s="277"/>
      <c r="BH41" s="277"/>
      <c r="BI41" s="278">
        <f t="shared" ref="BI41:BI73" si="138">SUM(E41+H41+K41+N41+Q41+T41+W41+Z41+AC41+AH41+AK41+AN41+AQ41+AT41+AW41+AZ41+BF41+BC41)</f>
        <v>27373000</v>
      </c>
      <c r="BJ41" s="278">
        <f t="shared" ref="BJ41:BK73" si="139">SUM(F41+I41+L41+O41+R41+U41+X41+AA41+AD41+AI41+AL41+AO41+AR41+AU41+AX41+BA41+BG41+BD41)</f>
        <v>27373000</v>
      </c>
      <c r="BK41" s="278">
        <f t="shared" si="139"/>
        <v>5886607</v>
      </c>
    </row>
    <row r="42" spans="1:63" ht="15.75" x14ac:dyDescent="0.2">
      <c r="A42" s="274" t="s">
        <v>417</v>
      </c>
      <c r="B42" s="279" t="s">
        <v>418</v>
      </c>
      <c r="C42" s="279" t="s">
        <v>169</v>
      </c>
      <c r="D42" s="270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7"/>
      <c r="R42" s="277"/>
      <c r="S42" s="277"/>
      <c r="T42" s="277"/>
      <c r="U42" s="277"/>
      <c r="V42" s="277"/>
      <c r="W42" s="277"/>
      <c r="X42" s="277"/>
      <c r="Y42" s="277"/>
      <c r="Z42" s="277"/>
      <c r="AA42" s="277"/>
      <c r="AB42" s="277"/>
      <c r="AC42" s="277"/>
      <c r="AD42" s="277"/>
      <c r="AE42" s="277"/>
      <c r="AF42" s="274" t="s">
        <v>417</v>
      </c>
      <c r="AG42" s="279" t="s">
        <v>418</v>
      </c>
      <c r="AH42" s="277"/>
      <c r="AI42" s="277"/>
      <c r="AJ42" s="277"/>
      <c r="AK42" s="277"/>
      <c r="AL42" s="277"/>
      <c r="AM42" s="277"/>
      <c r="AN42" s="277"/>
      <c r="AO42" s="277"/>
      <c r="AP42" s="277"/>
      <c r="AQ42" s="277"/>
      <c r="AR42" s="277"/>
      <c r="AS42" s="277"/>
      <c r="AT42" s="277"/>
      <c r="AU42" s="277"/>
      <c r="AV42" s="277"/>
      <c r="AW42" s="277"/>
      <c r="AX42" s="277"/>
      <c r="AY42" s="277"/>
      <c r="AZ42" s="277"/>
      <c r="BA42" s="277"/>
      <c r="BB42" s="277"/>
      <c r="BC42" s="277"/>
      <c r="BD42" s="277"/>
      <c r="BE42" s="277"/>
      <c r="BF42" s="277"/>
      <c r="BG42" s="277"/>
      <c r="BH42" s="277"/>
      <c r="BI42" s="278">
        <f t="shared" si="138"/>
        <v>0</v>
      </c>
      <c r="BJ42" s="278">
        <f t="shared" si="139"/>
        <v>0</v>
      </c>
      <c r="BK42" s="278">
        <f t="shared" si="139"/>
        <v>0</v>
      </c>
    </row>
    <row r="43" spans="1:63" ht="15.75" x14ac:dyDescent="0.2">
      <c r="A43" s="274" t="s">
        <v>419</v>
      </c>
      <c r="B43" s="279" t="s">
        <v>420</v>
      </c>
      <c r="C43" s="279" t="s">
        <v>473</v>
      </c>
      <c r="D43" s="270"/>
      <c r="E43" s="277"/>
      <c r="F43" s="277"/>
      <c r="G43" s="277"/>
      <c r="H43" s="277"/>
      <c r="I43" s="277"/>
      <c r="J43" s="277"/>
      <c r="K43" s="277"/>
      <c r="L43" s="277"/>
      <c r="M43" s="277"/>
      <c r="N43" s="277"/>
      <c r="O43" s="277"/>
      <c r="P43" s="277"/>
      <c r="Q43" s="277"/>
      <c r="R43" s="277"/>
      <c r="S43" s="277"/>
      <c r="T43" s="277"/>
      <c r="U43" s="277">
        <v>3047000</v>
      </c>
      <c r="V43" s="277">
        <v>3047000</v>
      </c>
      <c r="W43" s="277"/>
      <c r="X43" s="277"/>
      <c r="Y43" s="277"/>
      <c r="Z43" s="277"/>
      <c r="AA43" s="277">
        <v>15387807</v>
      </c>
      <c r="AB43" s="277">
        <v>15387807</v>
      </c>
      <c r="AC43" s="277"/>
      <c r="AD43" s="277"/>
      <c r="AE43" s="277"/>
      <c r="AF43" s="274" t="s">
        <v>419</v>
      </c>
      <c r="AG43" s="279" t="s">
        <v>420</v>
      </c>
      <c r="AH43" s="277"/>
      <c r="AI43" s="277"/>
      <c r="AJ43" s="277"/>
      <c r="AK43" s="277"/>
      <c r="AL43" s="277"/>
      <c r="AM43" s="277"/>
      <c r="AN43" s="277"/>
      <c r="AO43" s="277"/>
      <c r="AP43" s="277"/>
      <c r="AQ43" s="277"/>
      <c r="AR43" s="277"/>
      <c r="AS43" s="277"/>
      <c r="AT43" s="277"/>
      <c r="AU43" s="277"/>
      <c r="AV43" s="277"/>
      <c r="AW43" s="277"/>
      <c r="AX43" s="277"/>
      <c r="AY43" s="277"/>
      <c r="AZ43" s="277"/>
      <c r="BA43" s="277"/>
      <c r="BB43" s="277"/>
      <c r="BC43" s="277"/>
      <c r="BD43" s="277"/>
      <c r="BE43" s="277"/>
      <c r="BF43" s="277"/>
      <c r="BG43" s="277"/>
      <c r="BH43" s="277"/>
      <c r="BI43" s="278">
        <f t="shared" si="138"/>
        <v>0</v>
      </c>
      <c r="BJ43" s="278">
        <f t="shared" si="139"/>
        <v>18434807</v>
      </c>
      <c r="BK43" s="278">
        <f t="shared" si="139"/>
        <v>18434807</v>
      </c>
    </row>
    <row r="44" spans="1:63" ht="15.75" x14ac:dyDescent="0.2">
      <c r="A44" s="274" t="s">
        <v>421</v>
      </c>
      <c r="B44" s="275" t="s">
        <v>422</v>
      </c>
      <c r="C44" s="283" t="s">
        <v>169</v>
      </c>
      <c r="D44" s="284"/>
      <c r="E44" s="281">
        <v>400000</v>
      </c>
      <c r="F44" s="281">
        <v>1264438</v>
      </c>
      <c r="G44" s="281">
        <v>1264438</v>
      </c>
      <c r="H44" s="281">
        <v>40000</v>
      </c>
      <c r="I44" s="281"/>
      <c r="J44" s="281"/>
      <c r="K44" s="281">
        <v>2210000</v>
      </c>
      <c r="L44" s="281">
        <f>2210000+915000</f>
        <v>3125000</v>
      </c>
      <c r="M44" s="281">
        <v>3065687</v>
      </c>
      <c r="N44" s="281"/>
      <c r="O44" s="281"/>
      <c r="P44" s="281"/>
      <c r="Q44" s="281"/>
      <c r="R44" s="281"/>
      <c r="S44" s="281"/>
      <c r="T44" s="281"/>
      <c r="U44" s="281"/>
      <c r="V44" s="281"/>
      <c r="W44" s="281"/>
      <c r="X44" s="281"/>
      <c r="Y44" s="281"/>
      <c r="Z44" s="281">
        <v>75000000</v>
      </c>
      <c r="AA44" s="281">
        <v>72500000</v>
      </c>
      <c r="AB44" s="281">
        <v>72500000</v>
      </c>
      <c r="AC44" s="281"/>
      <c r="AD44" s="281"/>
      <c r="AE44" s="281"/>
      <c r="AF44" s="274" t="s">
        <v>421</v>
      </c>
      <c r="AG44" s="275" t="s">
        <v>422</v>
      </c>
      <c r="AH44" s="281"/>
      <c r="AI44" s="281"/>
      <c r="AJ44" s="281"/>
      <c r="AK44" s="281"/>
      <c r="AL44" s="281"/>
      <c r="AM44" s="281"/>
      <c r="AN44" s="281"/>
      <c r="AO44" s="281"/>
      <c r="AP44" s="281"/>
      <c r="AQ44" s="281"/>
      <c r="AR44" s="281"/>
      <c r="AS44" s="281"/>
      <c r="AT44" s="281"/>
      <c r="AU44" s="281"/>
      <c r="AV44" s="281"/>
      <c r="AW44" s="281"/>
      <c r="AX44" s="281"/>
      <c r="AY44" s="281"/>
      <c r="AZ44" s="281"/>
      <c r="BA44" s="281"/>
      <c r="BB44" s="281"/>
      <c r="BC44" s="281"/>
      <c r="BD44" s="281"/>
      <c r="BE44" s="281"/>
      <c r="BF44" s="281"/>
      <c r="BG44" s="281"/>
      <c r="BH44" s="281"/>
      <c r="BI44" s="278">
        <f t="shared" si="138"/>
        <v>77650000</v>
      </c>
      <c r="BJ44" s="278">
        <f t="shared" si="139"/>
        <v>76889438</v>
      </c>
      <c r="BK44" s="278">
        <f t="shared" si="139"/>
        <v>76830125</v>
      </c>
    </row>
    <row r="45" spans="1:63" ht="15.75" x14ac:dyDescent="0.2">
      <c r="A45" s="285"/>
      <c r="B45" s="286" t="s">
        <v>423</v>
      </c>
      <c r="C45" s="286"/>
      <c r="D45" s="297"/>
      <c r="E45" s="288">
        <f t="shared" ref="E45" si="140">SUM(E41:E44)</f>
        <v>400000</v>
      </c>
      <c r="F45" s="288">
        <f t="shared" ref="F45:AD45" si="141">SUM(F41:F44)</f>
        <v>1264438</v>
      </c>
      <c r="G45" s="288">
        <f t="shared" ref="G45" si="142">SUM(G41:G44)</f>
        <v>1264438</v>
      </c>
      <c r="H45" s="288">
        <f t="shared" ref="H45" si="143">SUM(H41:H44)</f>
        <v>40000</v>
      </c>
      <c r="I45" s="288">
        <f t="shared" si="141"/>
        <v>0</v>
      </c>
      <c r="J45" s="288">
        <f t="shared" ref="J45" si="144">SUM(J41:J44)</f>
        <v>0</v>
      </c>
      <c r="K45" s="288">
        <f t="shared" ref="K45" si="145">SUM(K41:K44)</f>
        <v>8583000</v>
      </c>
      <c r="L45" s="288">
        <f t="shared" si="141"/>
        <v>9498000</v>
      </c>
      <c r="M45" s="288">
        <f t="shared" ref="M45" si="146">SUM(M41:M44)</f>
        <v>8952294</v>
      </c>
      <c r="N45" s="288">
        <f t="shared" si="141"/>
        <v>0</v>
      </c>
      <c r="O45" s="288">
        <f t="shared" si="141"/>
        <v>0</v>
      </c>
      <c r="P45" s="288">
        <f t="shared" ref="P45" si="147">SUM(P41:P44)</f>
        <v>0</v>
      </c>
      <c r="Q45" s="288">
        <f t="shared" si="141"/>
        <v>0</v>
      </c>
      <c r="R45" s="288">
        <f t="shared" si="141"/>
        <v>0</v>
      </c>
      <c r="S45" s="288">
        <f t="shared" ref="S45" si="148">SUM(S41:S44)</f>
        <v>0</v>
      </c>
      <c r="T45" s="288">
        <f t="shared" ref="T45" si="149">SUM(T41:T44)</f>
        <v>0</v>
      </c>
      <c r="U45" s="288">
        <f t="shared" si="141"/>
        <v>3047000</v>
      </c>
      <c r="V45" s="288">
        <f t="shared" ref="V45" si="150">SUM(V41:V44)</f>
        <v>3047000</v>
      </c>
      <c r="W45" s="288">
        <f t="shared" si="141"/>
        <v>0</v>
      </c>
      <c r="X45" s="288">
        <f t="shared" si="141"/>
        <v>0</v>
      </c>
      <c r="Y45" s="288">
        <f t="shared" ref="Y45" si="151">SUM(Y41:Y44)</f>
        <v>0</v>
      </c>
      <c r="Z45" s="288">
        <f t="shared" si="141"/>
        <v>75000000</v>
      </c>
      <c r="AA45" s="288">
        <f t="shared" si="141"/>
        <v>87887807</v>
      </c>
      <c r="AB45" s="288">
        <f t="shared" ref="AB45" si="152">SUM(AB41:AB44)</f>
        <v>87887807</v>
      </c>
      <c r="AC45" s="288">
        <f t="shared" si="141"/>
        <v>0</v>
      </c>
      <c r="AD45" s="288">
        <f t="shared" si="141"/>
        <v>0</v>
      </c>
      <c r="AE45" s="288">
        <f t="shared" ref="AE45" si="153">SUM(AE41:AE44)</f>
        <v>0</v>
      </c>
      <c r="AF45" s="285"/>
      <c r="AG45" s="286" t="s">
        <v>423</v>
      </c>
      <c r="AH45" s="288">
        <f t="shared" ref="AH45" si="154">SUM(AH41:AH44)</f>
        <v>21000000</v>
      </c>
      <c r="AI45" s="288">
        <f t="shared" ref="AI45:BH45" si="155">SUM(AI41:AI44)</f>
        <v>21000000</v>
      </c>
      <c r="AJ45" s="288">
        <f t="shared" si="155"/>
        <v>0</v>
      </c>
      <c r="AK45" s="288">
        <f>SUM(AK41:AK44)</f>
        <v>0</v>
      </c>
      <c r="AL45" s="288">
        <f>SUM(AL41:AL44)</f>
        <v>0</v>
      </c>
      <c r="AM45" s="288">
        <f t="shared" ref="AM45" si="156">SUM(AM41:AM44)</f>
        <v>0</v>
      </c>
      <c r="AN45" s="288">
        <f t="shared" ref="AN45" si="157">SUM(AN41:AN44)</f>
        <v>0</v>
      </c>
      <c r="AO45" s="288">
        <f>SUM(AO41:AO44)</f>
        <v>0</v>
      </c>
      <c r="AP45" s="288">
        <f t="shared" ref="AP45" si="158">SUM(AP41:AP44)</f>
        <v>0</v>
      </c>
      <c r="AQ45" s="288">
        <f t="shared" ref="AQ45" si="159">SUM(AQ41:AQ44)</f>
        <v>0</v>
      </c>
      <c r="AR45" s="288">
        <f>SUM(AR41:AR44)</f>
        <v>0</v>
      </c>
      <c r="AS45" s="288">
        <f t="shared" ref="AS45" si="160">SUM(AS41:AS44)</f>
        <v>0</v>
      </c>
      <c r="AT45" s="288">
        <f t="shared" ref="AT45" si="161">SUM(AT41:AT44)</f>
        <v>0</v>
      </c>
      <c r="AU45" s="288">
        <f>SUM(AU41:AU44)</f>
        <v>0</v>
      </c>
      <c r="AV45" s="288">
        <f t="shared" ref="AV45" si="162">SUM(AV41:AV44)</f>
        <v>0</v>
      </c>
      <c r="AW45" s="288">
        <f t="shared" ref="AW45" si="163">SUM(AW41:AW44)</f>
        <v>0</v>
      </c>
      <c r="AX45" s="288">
        <f>SUM(AX41:AX44)</f>
        <v>0</v>
      </c>
      <c r="AY45" s="288">
        <f t="shared" ref="AY45" si="164">SUM(AY41:AY44)</f>
        <v>0</v>
      </c>
      <c r="AZ45" s="288">
        <f t="shared" ref="AZ45" si="165">SUM(AZ41:AZ44)</f>
        <v>0</v>
      </c>
      <c r="BA45" s="288">
        <f t="shared" si="155"/>
        <v>0</v>
      </c>
      <c r="BB45" s="288">
        <f t="shared" si="155"/>
        <v>0</v>
      </c>
      <c r="BC45" s="288">
        <f t="shared" ref="BC45" si="166">SUM(BC41:BC44)</f>
        <v>0</v>
      </c>
      <c r="BD45" s="288">
        <f t="shared" ref="BD45:BE45" si="167">SUM(BD41:BD44)</f>
        <v>0</v>
      </c>
      <c r="BE45" s="288">
        <f t="shared" si="167"/>
        <v>0</v>
      </c>
      <c r="BF45" s="288">
        <f t="shared" ref="BF45" si="168">SUM(BF41:BF44)</f>
        <v>0</v>
      </c>
      <c r="BG45" s="288">
        <f t="shared" si="155"/>
        <v>0</v>
      </c>
      <c r="BH45" s="288">
        <f t="shared" si="155"/>
        <v>0</v>
      </c>
      <c r="BI45" s="288">
        <f t="shared" si="138"/>
        <v>105023000</v>
      </c>
      <c r="BJ45" s="288">
        <f t="shared" si="139"/>
        <v>122697245</v>
      </c>
      <c r="BK45" s="288">
        <f t="shared" si="139"/>
        <v>101151539</v>
      </c>
    </row>
    <row r="46" spans="1:63" ht="15.75" x14ac:dyDescent="0.2">
      <c r="A46" s="294" t="s">
        <v>18</v>
      </c>
      <c r="B46" s="272" t="s">
        <v>479</v>
      </c>
      <c r="C46" s="272"/>
      <c r="D46" s="271"/>
      <c r="E46" s="277"/>
      <c r="F46" s="277"/>
      <c r="G46" s="277"/>
      <c r="H46" s="277"/>
      <c r="I46" s="277"/>
      <c r="J46" s="277"/>
      <c r="K46" s="277"/>
      <c r="L46" s="277"/>
      <c r="M46" s="277"/>
      <c r="N46" s="277"/>
      <c r="O46" s="277"/>
      <c r="P46" s="277"/>
      <c r="Q46" s="277"/>
      <c r="R46" s="277"/>
      <c r="S46" s="277"/>
      <c r="T46" s="277"/>
      <c r="U46" s="277"/>
      <c r="V46" s="277"/>
      <c r="W46" s="277"/>
      <c r="X46" s="277"/>
      <c r="Y46" s="277"/>
      <c r="Z46" s="277"/>
      <c r="AA46" s="277"/>
      <c r="AB46" s="277"/>
      <c r="AC46" s="277"/>
      <c r="AD46" s="277"/>
      <c r="AE46" s="277"/>
      <c r="AF46" s="294" t="s">
        <v>18</v>
      </c>
      <c r="AG46" s="272" t="s">
        <v>479</v>
      </c>
      <c r="AH46" s="277"/>
      <c r="AI46" s="277"/>
      <c r="AJ46" s="277"/>
      <c r="AK46" s="277"/>
      <c r="AL46" s="277"/>
      <c r="AM46" s="277"/>
      <c r="AN46" s="277"/>
      <c r="AO46" s="277"/>
      <c r="AP46" s="277"/>
      <c r="AQ46" s="277"/>
      <c r="AR46" s="277"/>
      <c r="AS46" s="277"/>
      <c r="AT46" s="277"/>
      <c r="AU46" s="277"/>
      <c r="AV46" s="277"/>
      <c r="AW46" s="277"/>
      <c r="AX46" s="277"/>
      <c r="AY46" s="277"/>
      <c r="AZ46" s="277"/>
      <c r="BA46" s="277"/>
      <c r="BB46" s="277"/>
      <c r="BC46" s="277"/>
      <c r="BD46" s="277"/>
      <c r="BE46" s="277"/>
      <c r="BF46" s="277"/>
      <c r="BG46" s="277"/>
      <c r="BH46" s="277"/>
      <c r="BI46" s="278">
        <f t="shared" si="138"/>
        <v>0</v>
      </c>
      <c r="BJ46" s="278">
        <f t="shared" si="139"/>
        <v>0</v>
      </c>
      <c r="BK46" s="278">
        <f t="shared" si="139"/>
        <v>0</v>
      </c>
    </row>
    <row r="47" spans="1:63" ht="15.75" x14ac:dyDescent="0.2">
      <c r="A47" s="274" t="s">
        <v>889</v>
      </c>
      <c r="B47" s="275" t="s">
        <v>890</v>
      </c>
      <c r="C47" s="275" t="s">
        <v>169</v>
      </c>
      <c r="D47" s="271"/>
      <c r="E47" s="277"/>
      <c r="F47" s="277"/>
      <c r="G47" s="277"/>
      <c r="H47" s="277"/>
      <c r="I47" s="277"/>
      <c r="J47" s="277"/>
      <c r="K47" s="277"/>
      <c r="L47" s="277">
        <v>70840</v>
      </c>
      <c r="M47" s="277">
        <v>70840</v>
      </c>
      <c r="N47" s="277"/>
      <c r="O47" s="277"/>
      <c r="P47" s="277"/>
      <c r="Q47" s="277"/>
      <c r="R47" s="277"/>
      <c r="S47" s="277"/>
      <c r="T47" s="277"/>
      <c r="U47" s="277"/>
      <c r="V47" s="277"/>
      <c r="W47" s="277"/>
      <c r="X47" s="277"/>
      <c r="Y47" s="277"/>
      <c r="Z47" s="277"/>
      <c r="AA47" s="277"/>
      <c r="AB47" s="277"/>
      <c r="AC47" s="277"/>
      <c r="AD47" s="277"/>
      <c r="AE47" s="277"/>
      <c r="AF47" s="274" t="s">
        <v>889</v>
      </c>
      <c r="AG47" s="275" t="s">
        <v>890</v>
      </c>
      <c r="AH47" s="277"/>
      <c r="AI47" s="277"/>
      <c r="AJ47" s="277"/>
      <c r="AK47" s="277"/>
      <c r="AL47" s="277"/>
      <c r="AM47" s="277"/>
      <c r="AN47" s="277"/>
      <c r="AO47" s="277"/>
      <c r="AP47" s="277"/>
      <c r="AQ47" s="277"/>
      <c r="AR47" s="277"/>
      <c r="AS47" s="277"/>
      <c r="AT47" s="277"/>
      <c r="AU47" s="277"/>
      <c r="AV47" s="277"/>
      <c r="AW47" s="277"/>
      <c r="AX47" s="277"/>
      <c r="AY47" s="277"/>
      <c r="AZ47" s="277"/>
      <c r="BA47" s="277"/>
      <c r="BB47" s="277"/>
      <c r="BC47" s="277"/>
      <c r="BD47" s="277"/>
      <c r="BE47" s="277"/>
      <c r="BF47" s="277"/>
      <c r="BG47" s="277"/>
      <c r="BH47" s="277"/>
      <c r="BI47" s="278">
        <f t="shared" ref="BI47" si="169">SUM(E47+H47+K47+N47+Q47+T47+W47+Z47+AC47+AH47+AK47+AN47+AQ47+AT47+AW47+AZ47+BF47+BC47)</f>
        <v>0</v>
      </c>
      <c r="BJ47" s="278">
        <f t="shared" ref="BJ47" si="170">SUM(F47+I47+L47+O47+R47+U47+X47+AA47+AD47+AI47+AL47+AO47+AR47+AU47+AX47+BA47+BG47+BD47)</f>
        <v>70840</v>
      </c>
      <c r="BK47" s="278">
        <f t="shared" ref="BK47" si="171">SUM(G47+J47+M47+P47+S47+V47+Y47+AB47+AE47+AJ47+AM47+AP47+AS47+AV47+AY47+BB47+BH47+BE47)</f>
        <v>70840</v>
      </c>
    </row>
    <row r="48" spans="1:63" ht="20.25" customHeight="1" x14ac:dyDescent="0.2">
      <c r="A48" s="274" t="s">
        <v>480</v>
      </c>
      <c r="B48" s="275" t="s">
        <v>481</v>
      </c>
      <c r="C48" s="275" t="s">
        <v>169</v>
      </c>
      <c r="D48" s="276">
        <v>1</v>
      </c>
      <c r="E48" s="277">
        <v>2740124</v>
      </c>
      <c r="F48" s="277">
        <v>2999019</v>
      </c>
      <c r="G48" s="277">
        <v>2999019</v>
      </c>
      <c r="H48" s="277">
        <v>566000</v>
      </c>
      <c r="I48" s="277">
        <v>566000</v>
      </c>
      <c r="J48" s="277">
        <v>566397</v>
      </c>
      <c r="K48" s="277">
        <v>100000</v>
      </c>
      <c r="L48" s="277">
        <v>180000</v>
      </c>
      <c r="M48" s="277">
        <v>170797</v>
      </c>
      <c r="N48" s="277"/>
      <c r="O48" s="277"/>
      <c r="P48" s="277"/>
      <c r="Q48" s="277"/>
      <c r="R48" s="277"/>
      <c r="S48" s="277"/>
      <c r="T48" s="277"/>
      <c r="U48" s="277"/>
      <c r="V48" s="277"/>
      <c r="W48" s="277"/>
      <c r="X48" s="277"/>
      <c r="Y48" s="277"/>
      <c r="Z48" s="277"/>
      <c r="AA48" s="277"/>
      <c r="AB48" s="277"/>
      <c r="AC48" s="277"/>
      <c r="AD48" s="277"/>
      <c r="AE48" s="277"/>
      <c r="AF48" s="274" t="s">
        <v>480</v>
      </c>
      <c r="AG48" s="275" t="s">
        <v>481</v>
      </c>
      <c r="AH48" s="277"/>
      <c r="AI48" s="277"/>
      <c r="AJ48" s="277"/>
      <c r="AK48" s="277"/>
      <c r="AL48" s="277"/>
      <c r="AM48" s="277"/>
      <c r="AN48" s="277"/>
      <c r="AO48" s="277"/>
      <c r="AP48" s="277"/>
      <c r="AQ48" s="277"/>
      <c r="AR48" s="277"/>
      <c r="AS48" s="277"/>
      <c r="AT48" s="277"/>
      <c r="AU48" s="277"/>
      <c r="AV48" s="277"/>
      <c r="AW48" s="277"/>
      <c r="AX48" s="277"/>
      <c r="AY48" s="277"/>
      <c r="AZ48" s="277"/>
      <c r="BA48" s="277"/>
      <c r="BB48" s="277"/>
      <c r="BC48" s="277"/>
      <c r="BD48" s="277"/>
      <c r="BE48" s="277"/>
      <c r="BF48" s="277"/>
      <c r="BG48" s="277"/>
      <c r="BH48" s="277"/>
      <c r="BI48" s="278">
        <f t="shared" si="138"/>
        <v>3406124</v>
      </c>
      <c r="BJ48" s="278">
        <f t="shared" si="139"/>
        <v>3745019</v>
      </c>
      <c r="BK48" s="278">
        <f t="shared" si="139"/>
        <v>3736213</v>
      </c>
    </row>
    <row r="49" spans="1:63" ht="15.75" x14ac:dyDescent="0.2">
      <c r="A49" s="274" t="s">
        <v>482</v>
      </c>
      <c r="B49" s="275" t="s">
        <v>483</v>
      </c>
      <c r="C49" s="275" t="s">
        <v>169</v>
      </c>
      <c r="D49" s="276"/>
      <c r="E49" s="277"/>
      <c r="F49" s="277"/>
      <c r="G49" s="277"/>
      <c r="H49" s="277"/>
      <c r="I49" s="277"/>
      <c r="J49" s="277"/>
      <c r="K49" s="277"/>
      <c r="L49" s="277"/>
      <c r="M49" s="277"/>
      <c r="N49" s="277"/>
      <c r="O49" s="277">
        <v>284000</v>
      </c>
      <c r="P49" s="277">
        <v>284000</v>
      </c>
      <c r="Q49" s="277"/>
      <c r="R49" s="277"/>
      <c r="S49" s="277"/>
      <c r="T49" s="277"/>
      <c r="U49" s="277"/>
      <c r="V49" s="277"/>
      <c r="W49" s="277"/>
      <c r="X49" s="277"/>
      <c r="Y49" s="277"/>
      <c r="Z49" s="277"/>
      <c r="AA49" s="277"/>
      <c r="AB49" s="277"/>
      <c r="AC49" s="277"/>
      <c r="AD49" s="277"/>
      <c r="AE49" s="277"/>
      <c r="AF49" s="274" t="s">
        <v>482</v>
      </c>
      <c r="AG49" s="275" t="s">
        <v>483</v>
      </c>
      <c r="AH49" s="277"/>
      <c r="AI49" s="277"/>
      <c r="AJ49" s="277"/>
      <c r="AK49" s="277"/>
      <c r="AL49" s="277"/>
      <c r="AM49" s="277"/>
      <c r="AN49" s="277"/>
      <c r="AO49" s="277"/>
      <c r="AP49" s="277"/>
      <c r="AQ49" s="277"/>
      <c r="AR49" s="277"/>
      <c r="AS49" s="277"/>
      <c r="AT49" s="277"/>
      <c r="AU49" s="277"/>
      <c r="AV49" s="277"/>
      <c r="AW49" s="277"/>
      <c r="AX49" s="277"/>
      <c r="AY49" s="277"/>
      <c r="AZ49" s="277"/>
      <c r="BA49" s="277"/>
      <c r="BB49" s="277"/>
      <c r="BC49" s="277"/>
      <c r="BD49" s="277"/>
      <c r="BE49" s="277"/>
      <c r="BF49" s="277"/>
      <c r="BG49" s="277"/>
      <c r="BH49" s="277"/>
      <c r="BI49" s="278">
        <f t="shared" si="138"/>
        <v>0</v>
      </c>
      <c r="BJ49" s="278">
        <f t="shared" si="139"/>
        <v>284000</v>
      </c>
      <c r="BK49" s="278">
        <f t="shared" si="139"/>
        <v>284000</v>
      </c>
    </row>
    <row r="50" spans="1:63" ht="15.75" x14ac:dyDescent="0.2">
      <c r="A50" s="275">
        <v>107051</v>
      </c>
      <c r="B50" s="279" t="s">
        <v>440</v>
      </c>
      <c r="C50" s="279" t="s">
        <v>169</v>
      </c>
      <c r="D50" s="270">
        <v>1</v>
      </c>
      <c r="E50" s="277">
        <v>2445000</v>
      </c>
      <c r="F50" s="277">
        <v>2575906</v>
      </c>
      <c r="G50" s="277">
        <v>2575906</v>
      </c>
      <c r="H50" s="277">
        <v>513800</v>
      </c>
      <c r="I50" s="277">
        <v>567052</v>
      </c>
      <c r="J50" s="277">
        <v>561071</v>
      </c>
      <c r="K50" s="277">
        <v>11225911</v>
      </c>
      <c r="L50" s="277">
        <v>11225911</v>
      </c>
      <c r="M50" s="277">
        <v>11283589</v>
      </c>
      <c r="N50" s="277"/>
      <c r="O50" s="277"/>
      <c r="P50" s="277"/>
      <c r="Q50" s="277"/>
      <c r="R50" s="277"/>
      <c r="S50" s="277"/>
      <c r="T50" s="277"/>
      <c r="U50" s="277"/>
      <c r="V50" s="277"/>
      <c r="W50" s="277"/>
      <c r="X50" s="277"/>
      <c r="Y50" s="277"/>
      <c r="Z50" s="277"/>
      <c r="AA50" s="277"/>
      <c r="AB50" s="277"/>
      <c r="AC50" s="277"/>
      <c r="AD50" s="277"/>
      <c r="AE50" s="277"/>
      <c r="AF50" s="275">
        <v>107051</v>
      </c>
      <c r="AG50" s="279" t="s">
        <v>440</v>
      </c>
      <c r="AH50" s="277"/>
      <c r="AI50" s="277"/>
      <c r="AJ50" s="277"/>
      <c r="AK50" s="277"/>
      <c r="AL50" s="277"/>
      <c r="AM50" s="277"/>
      <c r="AN50" s="277"/>
      <c r="AO50" s="277"/>
      <c r="AP50" s="277"/>
      <c r="AQ50" s="277"/>
      <c r="AR50" s="277"/>
      <c r="AS50" s="277"/>
      <c r="AT50" s="277"/>
      <c r="AU50" s="277"/>
      <c r="AV50" s="277"/>
      <c r="AW50" s="277"/>
      <c r="AX50" s="277"/>
      <c r="AY50" s="277"/>
      <c r="AZ50" s="277"/>
      <c r="BA50" s="277"/>
      <c r="BB50" s="277"/>
      <c r="BC50" s="277"/>
      <c r="BD50" s="277"/>
      <c r="BE50" s="277"/>
      <c r="BF50" s="277"/>
      <c r="BG50" s="277"/>
      <c r="BH50" s="277"/>
      <c r="BI50" s="278">
        <f t="shared" si="138"/>
        <v>14184711</v>
      </c>
      <c r="BJ50" s="278">
        <f t="shared" si="139"/>
        <v>14368869</v>
      </c>
      <c r="BK50" s="278">
        <f t="shared" si="139"/>
        <v>14420566</v>
      </c>
    </row>
    <row r="51" spans="1:63" ht="15.75" x14ac:dyDescent="0.2">
      <c r="A51" s="274" t="s">
        <v>484</v>
      </c>
      <c r="B51" s="275" t="s">
        <v>441</v>
      </c>
      <c r="C51" s="279" t="s">
        <v>169</v>
      </c>
      <c r="D51" s="270"/>
      <c r="E51" s="277"/>
      <c r="F51" s="277"/>
      <c r="G51" s="277"/>
      <c r="H51" s="277"/>
      <c r="I51" s="277"/>
      <c r="J51" s="277"/>
      <c r="K51" s="277">
        <v>1755000</v>
      </c>
      <c r="L51" s="277">
        <v>1028600</v>
      </c>
      <c r="M51" s="277">
        <v>1028600</v>
      </c>
      <c r="N51" s="277"/>
      <c r="O51" s="277"/>
      <c r="P51" s="277"/>
      <c r="Q51" s="277"/>
      <c r="R51" s="277"/>
      <c r="S51" s="277"/>
      <c r="T51" s="277"/>
      <c r="U51" s="277"/>
      <c r="V51" s="277"/>
      <c r="W51" s="277"/>
      <c r="X51" s="277"/>
      <c r="Y51" s="277"/>
      <c r="Z51" s="277"/>
      <c r="AA51" s="277"/>
      <c r="AB51" s="277"/>
      <c r="AC51" s="277"/>
      <c r="AD51" s="277"/>
      <c r="AE51" s="277"/>
      <c r="AF51" s="274" t="s">
        <v>484</v>
      </c>
      <c r="AG51" s="275" t="s">
        <v>441</v>
      </c>
      <c r="AH51" s="277"/>
      <c r="AI51" s="277"/>
      <c r="AJ51" s="277"/>
      <c r="AK51" s="277"/>
      <c r="AL51" s="277"/>
      <c r="AM51" s="277"/>
      <c r="AN51" s="277"/>
      <c r="AO51" s="277"/>
      <c r="AP51" s="277"/>
      <c r="AQ51" s="277"/>
      <c r="AR51" s="277"/>
      <c r="AS51" s="277"/>
      <c r="AT51" s="277"/>
      <c r="AU51" s="277"/>
      <c r="AV51" s="277"/>
      <c r="AW51" s="277"/>
      <c r="AX51" s="277"/>
      <c r="AY51" s="277"/>
      <c r="AZ51" s="277"/>
      <c r="BA51" s="277"/>
      <c r="BB51" s="277"/>
      <c r="BC51" s="277"/>
      <c r="BD51" s="277"/>
      <c r="BE51" s="277"/>
      <c r="BF51" s="277"/>
      <c r="BG51" s="277"/>
      <c r="BH51" s="277"/>
      <c r="BI51" s="278">
        <f t="shared" si="138"/>
        <v>1755000</v>
      </c>
      <c r="BJ51" s="278">
        <f t="shared" si="139"/>
        <v>1028600</v>
      </c>
      <c r="BK51" s="278">
        <f t="shared" si="139"/>
        <v>1028600</v>
      </c>
    </row>
    <row r="52" spans="1:63" ht="30" x14ac:dyDescent="0.2">
      <c r="A52" s="283">
        <v>107060</v>
      </c>
      <c r="B52" s="279" t="s">
        <v>485</v>
      </c>
      <c r="C52" s="279" t="s">
        <v>169</v>
      </c>
      <c r="D52" s="270"/>
      <c r="E52" s="277"/>
      <c r="F52" s="277"/>
      <c r="G52" s="277"/>
      <c r="H52" s="277"/>
      <c r="I52" s="277"/>
      <c r="J52" s="277"/>
      <c r="K52" s="277"/>
      <c r="L52" s="277">
        <f>817880+4290060</f>
        <v>5107940</v>
      </c>
      <c r="M52" s="277">
        <v>118745</v>
      </c>
      <c r="N52" s="277">
        <v>7500000</v>
      </c>
      <c r="O52" s="277">
        <v>7050420</v>
      </c>
      <c r="P52" s="277">
        <v>4443306</v>
      </c>
      <c r="Q52" s="277"/>
      <c r="R52" s="277"/>
      <c r="S52" s="277"/>
      <c r="T52" s="277">
        <v>300000</v>
      </c>
      <c r="U52" s="277">
        <v>300000</v>
      </c>
      <c r="V52" s="277">
        <v>300000</v>
      </c>
      <c r="W52" s="277">
        <v>1000000</v>
      </c>
      <c r="X52" s="277">
        <f>'4.a. sz.m.egyéb műk.kiadás '!D41</f>
        <v>1000000</v>
      </c>
      <c r="Y52" s="277">
        <v>342000</v>
      </c>
      <c r="Z52" s="277"/>
      <c r="AA52" s="277"/>
      <c r="AB52" s="277"/>
      <c r="AC52" s="277"/>
      <c r="AD52" s="277"/>
      <c r="AE52" s="277"/>
      <c r="AF52" s="283">
        <v>107060</v>
      </c>
      <c r="AG52" s="279" t="s">
        <v>485</v>
      </c>
      <c r="AH52" s="277"/>
      <c r="AI52" s="277"/>
      <c r="AJ52" s="277"/>
      <c r="AK52" s="277"/>
      <c r="AL52" s="277"/>
      <c r="AM52" s="277"/>
      <c r="AN52" s="277"/>
      <c r="AO52" s="277"/>
      <c r="AP52" s="277"/>
      <c r="AQ52" s="277"/>
      <c r="AR52" s="277"/>
      <c r="AS52" s="277"/>
      <c r="AT52" s="277"/>
      <c r="AU52" s="277"/>
      <c r="AV52" s="277"/>
      <c r="AW52" s="277"/>
      <c r="AX52" s="277"/>
      <c r="AY52" s="277"/>
      <c r="AZ52" s="277"/>
      <c r="BA52" s="277"/>
      <c r="BB52" s="277"/>
      <c r="BC52" s="277"/>
      <c r="BD52" s="277"/>
      <c r="BE52" s="277"/>
      <c r="BF52" s="277"/>
      <c r="BG52" s="277"/>
      <c r="BH52" s="277"/>
      <c r="BI52" s="278">
        <f t="shared" si="138"/>
        <v>8800000</v>
      </c>
      <c r="BJ52" s="278">
        <f t="shared" si="139"/>
        <v>13458360</v>
      </c>
      <c r="BK52" s="278">
        <f t="shared" si="139"/>
        <v>5204051</v>
      </c>
    </row>
    <row r="53" spans="1:63" ht="15.75" x14ac:dyDescent="0.2">
      <c r="A53" s="298"/>
      <c r="B53" s="293" t="s">
        <v>446</v>
      </c>
      <c r="C53" s="293"/>
      <c r="D53" s="288">
        <f t="shared" ref="D53" si="172">SUM(D48:D52)</f>
        <v>2</v>
      </c>
      <c r="E53" s="288">
        <f>SUM(E47:E52)</f>
        <v>5185124</v>
      </c>
      <c r="F53" s="288">
        <f>SUM(F47:F52)</f>
        <v>5574925</v>
      </c>
      <c r="G53" s="288">
        <f t="shared" ref="G53:AE53" si="173">SUM(G47:G52)</f>
        <v>5574925</v>
      </c>
      <c r="H53" s="288">
        <f t="shared" si="173"/>
        <v>1079800</v>
      </c>
      <c r="I53" s="288">
        <f t="shared" si="173"/>
        <v>1133052</v>
      </c>
      <c r="J53" s="288">
        <f t="shared" si="173"/>
        <v>1127468</v>
      </c>
      <c r="K53" s="288">
        <f t="shared" si="173"/>
        <v>13080911</v>
      </c>
      <c r="L53" s="288">
        <f t="shared" si="173"/>
        <v>17613291</v>
      </c>
      <c r="M53" s="288">
        <f t="shared" si="173"/>
        <v>12672571</v>
      </c>
      <c r="N53" s="288">
        <f t="shared" si="173"/>
        <v>7500000</v>
      </c>
      <c r="O53" s="288">
        <f t="shared" si="173"/>
        <v>7334420</v>
      </c>
      <c r="P53" s="288">
        <f t="shared" si="173"/>
        <v>4727306</v>
      </c>
      <c r="Q53" s="288">
        <f t="shared" si="173"/>
        <v>0</v>
      </c>
      <c r="R53" s="288">
        <f t="shared" si="173"/>
        <v>0</v>
      </c>
      <c r="S53" s="288">
        <f t="shared" si="173"/>
        <v>0</v>
      </c>
      <c r="T53" s="288">
        <f t="shared" si="173"/>
        <v>300000</v>
      </c>
      <c r="U53" s="288">
        <f t="shared" si="173"/>
        <v>300000</v>
      </c>
      <c r="V53" s="288">
        <f t="shared" si="173"/>
        <v>300000</v>
      </c>
      <c r="W53" s="288">
        <f t="shared" si="173"/>
        <v>1000000</v>
      </c>
      <c r="X53" s="288">
        <f t="shared" si="173"/>
        <v>1000000</v>
      </c>
      <c r="Y53" s="288">
        <f t="shared" si="173"/>
        <v>342000</v>
      </c>
      <c r="Z53" s="288">
        <f t="shared" si="173"/>
        <v>0</v>
      </c>
      <c r="AA53" s="288">
        <f t="shared" si="173"/>
        <v>0</v>
      </c>
      <c r="AB53" s="288">
        <f t="shared" si="173"/>
        <v>0</v>
      </c>
      <c r="AC53" s="288">
        <f t="shared" si="173"/>
        <v>0</v>
      </c>
      <c r="AD53" s="288">
        <f t="shared" si="173"/>
        <v>0</v>
      </c>
      <c r="AE53" s="288">
        <f t="shared" si="173"/>
        <v>0</v>
      </c>
      <c r="AF53" s="298"/>
      <c r="AG53" s="293" t="s">
        <v>446</v>
      </c>
      <c r="AH53" s="288">
        <f t="shared" ref="AH53:BH53" si="174">SUM(AH47:AH52)</f>
        <v>0</v>
      </c>
      <c r="AI53" s="288">
        <f t="shared" si="174"/>
        <v>0</v>
      </c>
      <c r="AJ53" s="288">
        <f t="shared" si="174"/>
        <v>0</v>
      </c>
      <c r="AK53" s="288">
        <f t="shared" si="174"/>
        <v>0</v>
      </c>
      <c r="AL53" s="288">
        <f t="shared" si="174"/>
        <v>0</v>
      </c>
      <c r="AM53" s="288">
        <f t="shared" si="174"/>
        <v>0</v>
      </c>
      <c r="AN53" s="288">
        <f t="shared" si="174"/>
        <v>0</v>
      </c>
      <c r="AO53" s="288">
        <f t="shared" si="174"/>
        <v>0</v>
      </c>
      <c r="AP53" s="288">
        <f t="shared" si="174"/>
        <v>0</v>
      </c>
      <c r="AQ53" s="288">
        <f t="shared" si="174"/>
        <v>0</v>
      </c>
      <c r="AR53" s="288">
        <f t="shared" si="174"/>
        <v>0</v>
      </c>
      <c r="AS53" s="288">
        <f t="shared" si="174"/>
        <v>0</v>
      </c>
      <c r="AT53" s="288">
        <f t="shared" si="174"/>
        <v>0</v>
      </c>
      <c r="AU53" s="288">
        <f t="shared" si="174"/>
        <v>0</v>
      </c>
      <c r="AV53" s="288">
        <f t="shared" si="174"/>
        <v>0</v>
      </c>
      <c r="AW53" s="288">
        <f t="shared" si="174"/>
        <v>0</v>
      </c>
      <c r="AX53" s="288">
        <f t="shared" si="174"/>
        <v>0</v>
      </c>
      <c r="AY53" s="288">
        <f t="shared" si="174"/>
        <v>0</v>
      </c>
      <c r="AZ53" s="288">
        <f t="shared" si="174"/>
        <v>0</v>
      </c>
      <c r="BA53" s="288">
        <f t="shared" si="174"/>
        <v>0</v>
      </c>
      <c r="BB53" s="288">
        <f t="shared" si="174"/>
        <v>0</v>
      </c>
      <c r="BC53" s="288">
        <f t="shared" si="174"/>
        <v>0</v>
      </c>
      <c r="BD53" s="288">
        <f t="shared" si="174"/>
        <v>0</v>
      </c>
      <c r="BE53" s="288">
        <f t="shared" si="174"/>
        <v>0</v>
      </c>
      <c r="BF53" s="288">
        <f t="shared" si="174"/>
        <v>0</v>
      </c>
      <c r="BG53" s="288">
        <f t="shared" si="174"/>
        <v>0</v>
      </c>
      <c r="BH53" s="288">
        <f t="shared" si="174"/>
        <v>0</v>
      </c>
      <c r="BI53" s="288">
        <f t="shared" si="138"/>
        <v>28145835</v>
      </c>
      <c r="BJ53" s="288">
        <f t="shared" si="139"/>
        <v>32955688</v>
      </c>
      <c r="BK53" s="288">
        <f t="shared" si="139"/>
        <v>24744270</v>
      </c>
    </row>
    <row r="54" spans="1:63" ht="15.75" x14ac:dyDescent="0.2">
      <c r="A54" s="274" t="s">
        <v>486</v>
      </c>
      <c r="B54" s="275" t="s">
        <v>487</v>
      </c>
      <c r="C54" s="299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274" t="s">
        <v>486</v>
      </c>
      <c r="AG54" s="275" t="s">
        <v>487</v>
      </c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278">
        <f t="shared" si="138"/>
        <v>0</v>
      </c>
      <c r="BJ54" s="278">
        <f t="shared" si="139"/>
        <v>0</v>
      </c>
      <c r="BK54" s="278">
        <f t="shared" si="139"/>
        <v>0</v>
      </c>
    </row>
    <row r="55" spans="1:63" ht="15.75" x14ac:dyDescent="0.2">
      <c r="A55" s="302" t="s">
        <v>503</v>
      </c>
      <c r="B55" s="283" t="s">
        <v>507</v>
      </c>
      <c r="C55" s="299"/>
      <c r="D55" s="300"/>
      <c r="E55" s="301"/>
      <c r="F55" s="301"/>
      <c r="G55" s="301"/>
      <c r="H55" s="301"/>
      <c r="I55" s="301"/>
      <c r="J55" s="301"/>
      <c r="K55" s="309">
        <v>1943764</v>
      </c>
      <c r="L55" s="309">
        <v>1000122</v>
      </c>
      <c r="M55" s="309">
        <v>1000122</v>
      </c>
      <c r="N55" s="309"/>
      <c r="O55" s="301"/>
      <c r="P55" s="301"/>
      <c r="Q55" s="309"/>
      <c r="R55" s="301"/>
      <c r="S55" s="301"/>
      <c r="T55" s="301"/>
      <c r="U55" s="301"/>
      <c r="V55" s="301"/>
      <c r="W55" s="309"/>
      <c r="X55" s="301"/>
      <c r="Y55" s="301"/>
      <c r="Z55" s="309"/>
      <c r="AA55" s="301"/>
      <c r="AB55" s="301"/>
      <c r="AC55" s="309"/>
      <c r="AD55" s="301"/>
      <c r="AE55" s="301"/>
      <c r="AF55" s="302" t="s">
        <v>503</v>
      </c>
      <c r="AG55" s="283" t="s">
        <v>507</v>
      </c>
      <c r="AH55" s="301"/>
      <c r="AI55" s="301"/>
      <c r="AJ55" s="301"/>
      <c r="AK55" s="301"/>
      <c r="AL55" s="301"/>
      <c r="AM55" s="301"/>
      <c r="AN55" s="309"/>
      <c r="AO55" s="301"/>
      <c r="AP55" s="301"/>
      <c r="AQ55" s="309"/>
      <c r="AR55" s="301"/>
      <c r="AS55" s="301"/>
      <c r="AT55" s="309"/>
      <c r="AU55" s="301"/>
      <c r="AV55" s="301"/>
      <c r="AW55" s="309"/>
      <c r="AX55" s="301"/>
      <c r="AY55" s="301"/>
      <c r="AZ55" s="309">
        <v>10000000</v>
      </c>
      <c r="BA55" s="309">
        <v>10000000</v>
      </c>
      <c r="BB55" s="309">
        <v>10000000</v>
      </c>
      <c r="BC55" s="309">
        <v>100000000</v>
      </c>
      <c r="BD55" s="309">
        <v>100000000</v>
      </c>
      <c r="BE55" s="309">
        <v>100000000</v>
      </c>
      <c r="BF55" s="309"/>
      <c r="BG55" s="301"/>
      <c r="BH55" s="301"/>
      <c r="BI55" s="278">
        <f t="shared" si="138"/>
        <v>111943764</v>
      </c>
      <c r="BJ55" s="278">
        <f t="shared" si="139"/>
        <v>111000122</v>
      </c>
      <c r="BK55" s="278">
        <f t="shared" si="139"/>
        <v>111000122</v>
      </c>
    </row>
    <row r="56" spans="1:63" ht="15.75" customHeight="1" x14ac:dyDescent="0.2">
      <c r="A56" s="911" t="s">
        <v>488</v>
      </c>
      <c r="B56" s="911"/>
      <c r="C56" s="303"/>
      <c r="D56" s="304">
        <f>SUM(D13,D20,D25,D33,D39,D45,D53,D54)</f>
        <v>46</v>
      </c>
      <c r="E56" s="304">
        <f t="shared" ref="E56:AE56" si="175">SUM(E13,E20,E25,E33,E39,E45,E53,E54+E55)</f>
        <v>54375430</v>
      </c>
      <c r="F56" s="304">
        <f t="shared" si="175"/>
        <v>56818207</v>
      </c>
      <c r="G56" s="304">
        <f t="shared" si="175"/>
        <v>55675594</v>
      </c>
      <c r="H56" s="304">
        <f t="shared" si="175"/>
        <v>11365353</v>
      </c>
      <c r="I56" s="304">
        <f t="shared" si="175"/>
        <v>11790477</v>
      </c>
      <c r="J56" s="304">
        <f t="shared" si="175"/>
        <v>11217623</v>
      </c>
      <c r="K56" s="304">
        <f t="shared" si="175"/>
        <v>343851011</v>
      </c>
      <c r="L56" s="304">
        <f t="shared" si="175"/>
        <v>396351629</v>
      </c>
      <c r="M56" s="304">
        <f t="shared" si="175"/>
        <v>339155968</v>
      </c>
      <c r="N56" s="304">
        <f t="shared" si="175"/>
        <v>7500000</v>
      </c>
      <c r="O56" s="304">
        <f t="shared" si="175"/>
        <v>7334420</v>
      </c>
      <c r="P56" s="304">
        <f t="shared" si="175"/>
        <v>4727306</v>
      </c>
      <c r="Q56" s="304">
        <f t="shared" si="175"/>
        <v>0</v>
      </c>
      <c r="R56" s="304">
        <f t="shared" si="175"/>
        <v>0</v>
      </c>
      <c r="S56" s="304">
        <f t="shared" si="175"/>
        <v>0</v>
      </c>
      <c r="T56" s="304">
        <f t="shared" si="175"/>
        <v>51316408</v>
      </c>
      <c r="U56" s="304">
        <f t="shared" si="175"/>
        <v>60405414</v>
      </c>
      <c r="V56" s="304">
        <f t="shared" si="175"/>
        <v>60255414</v>
      </c>
      <c r="W56" s="304">
        <f t="shared" si="175"/>
        <v>1000000</v>
      </c>
      <c r="X56" s="304">
        <f t="shared" si="175"/>
        <v>1000000</v>
      </c>
      <c r="Y56" s="304">
        <f t="shared" si="175"/>
        <v>342000</v>
      </c>
      <c r="Z56" s="304">
        <f t="shared" si="175"/>
        <v>78000000</v>
      </c>
      <c r="AA56" s="304">
        <f t="shared" si="175"/>
        <v>99197807</v>
      </c>
      <c r="AB56" s="304">
        <f t="shared" si="175"/>
        <v>96197807</v>
      </c>
      <c r="AC56" s="304">
        <f t="shared" si="175"/>
        <v>255712508</v>
      </c>
      <c r="AD56" s="304">
        <f t="shared" si="175"/>
        <v>538653284</v>
      </c>
      <c r="AE56" s="304">
        <f t="shared" si="175"/>
        <v>0</v>
      </c>
      <c r="AF56" s="911" t="s">
        <v>488</v>
      </c>
      <c r="AG56" s="911"/>
      <c r="AH56" s="304">
        <f t="shared" ref="AH56:BH56" si="176">SUM(AH13,AH20,AH25,AH33,AH39,AH45,AH53,AH54+AH55)</f>
        <v>727482345</v>
      </c>
      <c r="AI56" s="304">
        <f t="shared" si="176"/>
        <v>712432235</v>
      </c>
      <c r="AJ56" s="304">
        <f t="shared" si="176"/>
        <v>268389009</v>
      </c>
      <c r="AK56" s="304">
        <f t="shared" si="176"/>
        <v>32843676</v>
      </c>
      <c r="AL56" s="304">
        <f t="shared" si="176"/>
        <v>43758543</v>
      </c>
      <c r="AM56" s="304">
        <f t="shared" si="176"/>
        <v>9492047</v>
      </c>
      <c r="AN56" s="304">
        <f t="shared" si="176"/>
        <v>0</v>
      </c>
      <c r="AO56" s="304">
        <f t="shared" si="176"/>
        <v>21531976</v>
      </c>
      <c r="AP56" s="304">
        <f t="shared" si="176"/>
        <v>0</v>
      </c>
      <c r="AQ56" s="304">
        <f t="shared" si="176"/>
        <v>1000000</v>
      </c>
      <c r="AR56" s="304">
        <f t="shared" si="176"/>
        <v>1000000</v>
      </c>
      <c r="AS56" s="304">
        <f t="shared" si="176"/>
        <v>500000</v>
      </c>
      <c r="AT56" s="304">
        <f t="shared" si="176"/>
        <v>600000</v>
      </c>
      <c r="AU56" s="304">
        <f t="shared" si="176"/>
        <v>600000</v>
      </c>
      <c r="AV56" s="304">
        <f t="shared" si="176"/>
        <v>500000</v>
      </c>
      <c r="AW56" s="304">
        <f t="shared" si="176"/>
        <v>13820000</v>
      </c>
      <c r="AX56" s="304">
        <f t="shared" si="176"/>
        <v>13640747</v>
      </c>
      <c r="AY56" s="304">
        <f t="shared" si="176"/>
        <v>3640747</v>
      </c>
      <c r="AZ56" s="304">
        <f t="shared" si="176"/>
        <v>10000000</v>
      </c>
      <c r="BA56" s="304">
        <f t="shared" si="176"/>
        <v>10000000</v>
      </c>
      <c r="BB56" s="304">
        <f t="shared" si="176"/>
        <v>10000000</v>
      </c>
      <c r="BC56" s="304">
        <f t="shared" si="176"/>
        <v>100000000</v>
      </c>
      <c r="BD56" s="304">
        <f t="shared" si="176"/>
        <v>100000000</v>
      </c>
      <c r="BE56" s="304">
        <f t="shared" si="176"/>
        <v>100000000</v>
      </c>
      <c r="BF56" s="304">
        <f t="shared" si="176"/>
        <v>14048925</v>
      </c>
      <c r="BG56" s="304">
        <f t="shared" si="176"/>
        <v>14114285</v>
      </c>
      <c r="BH56" s="304">
        <f t="shared" si="176"/>
        <v>14098979</v>
      </c>
      <c r="BI56" s="304">
        <f t="shared" si="138"/>
        <v>1702915656</v>
      </c>
      <c r="BJ56" s="304">
        <f t="shared" si="139"/>
        <v>2088629024</v>
      </c>
      <c r="BK56" s="304">
        <f t="shared" si="139"/>
        <v>974192494</v>
      </c>
    </row>
    <row r="57" spans="1:63" ht="15.75" x14ac:dyDescent="0.2">
      <c r="A57" s="305"/>
      <c r="B57" s="266" t="s">
        <v>489</v>
      </c>
      <c r="C57" s="266"/>
      <c r="D57" s="306"/>
      <c r="E57" s="278"/>
      <c r="F57" s="278"/>
      <c r="G57" s="278"/>
      <c r="H57" s="278"/>
      <c r="I57" s="278"/>
      <c r="J57" s="278"/>
      <c r="K57" s="278"/>
      <c r="L57" s="278"/>
      <c r="M57" s="278"/>
      <c r="N57" s="278"/>
      <c r="O57" s="277"/>
      <c r="P57" s="278"/>
      <c r="Q57" s="278"/>
      <c r="R57" s="277"/>
      <c r="S57" s="278"/>
      <c r="T57" s="278"/>
      <c r="U57" s="278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F57" s="305"/>
      <c r="AG57" s="266" t="s">
        <v>489</v>
      </c>
      <c r="AH57" s="278"/>
      <c r="AI57" s="278"/>
      <c r="AJ57" s="278"/>
      <c r="AK57" s="278"/>
      <c r="AL57" s="278"/>
      <c r="AM57" s="278"/>
      <c r="AN57" s="278"/>
      <c r="AO57" s="278"/>
      <c r="AP57" s="278"/>
      <c r="AQ57" s="278"/>
      <c r="AR57" s="278"/>
      <c r="AS57" s="278"/>
      <c r="AT57" s="278"/>
      <c r="AU57" s="278"/>
      <c r="AV57" s="278"/>
      <c r="AW57" s="278"/>
      <c r="AX57" s="278"/>
      <c r="AY57" s="278"/>
      <c r="AZ57" s="278"/>
      <c r="BA57" s="278"/>
      <c r="BB57" s="278"/>
      <c r="BC57" s="278"/>
      <c r="BD57" s="278"/>
      <c r="BE57" s="278"/>
      <c r="BF57" s="278"/>
      <c r="BG57" s="278"/>
      <c r="BH57" s="278"/>
      <c r="BI57" s="278">
        <f t="shared" si="138"/>
        <v>0</v>
      </c>
      <c r="BJ57" s="278">
        <f t="shared" si="139"/>
        <v>0</v>
      </c>
      <c r="BK57" s="278">
        <f t="shared" si="139"/>
        <v>0</v>
      </c>
    </row>
    <row r="58" spans="1:63" ht="15.75" x14ac:dyDescent="0.2">
      <c r="A58" s="305"/>
      <c r="B58" s="307" t="s">
        <v>451</v>
      </c>
      <c r="C58" s="307"/>
      <c r="D58" s="308"/>
      <c r="E58" s="277"/>
      <c r="F58" s="277"/>
      <c r="G58" s="277"/>
      <c r="H58" s="277"/>
      <c r="I58" s="277"/>
      <c r="J58" s="277"/>
      <c r="K58" s="277"/>
      <c r="L58" s="277"/>
      <c r="M58" s="277"/>
      <c r="N58" s="277"/>
      <c r="O58" s="277"/>
      <c r="P58" s="277"/>
      <c r="Q58" s="277"/>
      <c r="R58" s="277"/>
      <c r="S58" s="277"/>
      <c r="T58" s="277"/>
      <c r="U58" s="277"/>
      <c r="V58" s="277"/>
      <c r="W58" s="277"/>
      <c r="X58" s="277"/>
      <c r="Y58" s="277"/>
      <c r="Z58" s="277"/>
      <c r="AA58" s="277"/>
      <c r="AB58" s="277"/>
      <c r="AC58" s="277"/>
      <c r="AD58" s="277"/>
      <c r="AE58" s="277"/>
      <c r="AF58" s="305"/>
      <c r="AG58" s="307" t="s">
        <v>451</v>
      </c>
      <c r="AH58" s="277"/>
      <c r="AI58" s="277"/>
      <c r="AJ58" s="277"/>
      <c r="AK58" s="277"/>
      <c r="AL58" s="277"/>
      <c r="AM58" s="277"/>
      <c r="AN58" s="277"/>
      <c r="AO58" s="277"/>
      <c r="AP58" s="277"/>
      <c r="AQ58" s="277"/>
      <c r="AR58" s="277"/>
      <c r="AS58" s="277"/>
      <c r="AT58" s="277"/>
      <c r="AU58" s="277"/>
      <c r="AV58" s="277"/>
      <c r="AW58" s="277"/>
      <c r="AX58" s="277"/>
      <c r="AY58" s="277"/>
      <c r="AZ58" s="277"/>
      <c r="BA58" s="277"/>
      <c r="BB58" s="277"/>
      <c r="BC58" s="277"/>
      <c r="BD58" s="277"/>
      <c r="BE58" s="277"/>
      <c r="BF58" s="277"/>
      <c r="BG58" s="277"/>
      <c r="BH58" s="277"/>
      <c r="BI58" s="278">
        <f t="shared" si="138"/>
        <v>0</v>
      </c>
      <c r="BJ58" s="278">
        <f t="shared" si="139"/>
        <v>0</v>
      </c>
      <c r="BK58" s="278">
        <f t="shared" si="139"/>
        <v>0</v>
      </c>
    </row>
    <row r="59" spans="1:63" ht="24.75" customHeight="1" x14ac:dyDescent="0.2">
      <c r="A59" s="274" t="s">
        <v>359</v>
      </c>
      <c r="B59" s="275" t="s">
        <v>360</v>
      </c>
      <c r="C59" s="275" t="s">
        <v>169</v>
      </c>
      <c r="D59" s="276">
        <v>21</v>
      </c>
      <c r="E59" s="277">
        <f>89008600+1462000</f>
        <v>90470600</v>
      </c>
      <c r="F59" s="277">
        <v>94901721</v>
      </c>
      <c r="G59" s="277">
        <v>94114943</v>
      </c>
      <c r="H59" s="277">
        <f>17713744+285000</f>
        <v>17998744</v>
      </c>
      <c r="I59" s="277">
        <v>18933058</v>
      </c>
      <c r="J59" s="277">
        <v>18765691</v>
      </c>
      <c r="K59" s="277">
        <f>18443000-590000</f>
        <v>17853000</v>
      </c>
      <c r="L59" s="277">
        <v>18633454</v>
      </c>
      <c r="M59" s="277">
        <v>17772669</v>
      </c>
      <c r="N59" s="277"/>
      <c r="O59" s="277"/>
      <c r="P59" s="277"/>
      <c r="Q59" s="277"/>
      <c r="R59" s="277"/>
      <c r="S59" s="277"/>
      <c r="T59" s="277">
        <v>1200000</v>
      </c>
      <c r="U59" s="277">
        <v>1200000</v>
      </c>
      <c r="V59" s="277">
        <v>1200000</v>
      </c>
      <c r="W59" s="277"/>
      <c r="X59" s="277"/>
      <c r="Y59" s="277"/>
      <c r="Z59" s="277"/>
      <c r="AA59" s="277"/>
      <c r="AB59" s="277"/>
      <c r="AC59" s="277"/>
      <c r="AD59" s="277"/>
      <c r="AE59" s="277"/>
      <c r="AF59" s="274" t="s">
        <v>359</v>
      </c>
      <c r="AG59" s="275" t="s">
        <v>360</v>
      </c>
      <c r="AH59" s="277">
        <v>1000000</v>
      </c>
      <c r="AI59" s="277">
        <v>1772555</v>
      </c>
      <c r="AJ59" s="277">
        <v>1427655</v>
      </c>
      <c r="AK59" s="277"/>
      <c r="AL59" s="277"/>
      <c r="AM59" s="277"/>
      <c r="AN59" s="277"/>
      <c r="AO59" s="277"/>
      <c r="AP59" s="277"/>
      <c r="AQ59" s="277"/>
      <c r="AR59" s="277">
        <v>600000</v>
      </c>
      <c r="AS59" s="277">
        <v>600000</v>
      </c>
      <c r="AT59" s="277"/>
      <c r="AU59" s="277"/>
      <c r="AV59" s="277"/>
      <c r="AW59" s="277"/>
      <c r="AX59" s="277"/>
      <c r="AY59" s="277"/>
      <c r="AZ59" s="277"/>
      <c r="BA59" s="277"/>
      <c r="BB59" s="277"/>
      <c r="BC59" s="277"/>
      <c r="BD59" s="277"/>
      <c r="BE59" s="277"/>
      <c r="BF59" s="277"/>
      <c r="BG59" s="277"/>
      <c r="BH59" s="277"/>
      <c r="BI59" s="278">
        <f t="shared" si="138"/>
        <v>128522344</v>
      </c>
      <c r="BJ59" s="278">
        <f t="shared" si="139"/>
        <v>136040788</v>
      </c>
      <c r="BK59" s="278">
        <f t="shared" si="139"/>
        <v>133880958</v>
      </c>
    </row>
    <row r="60" spans="1:63" ht="24.75" customHeight="1" x14ac:dyDescent="0.2">
      <c r="A60" s="274" t="s">
        <v>367</v>
      </c>
      <c r="B60" s="275" t="s">
        <v>777</v>
      </c>
      <c r="C60" s="275"/>
      <c r="D60" s="276"/>
      <c r="E60" s="277"/>
      <c r="F60" s="277"/>
      <c r="G60" s="277"/>
      <c r="H60" s="277"/>
      <c r="I60" s="277"/>
      <c r="J60" s="277"/>
      <c r="K60" s="277"/>
      <c r="L60" s="277"/>
      <c r="M60" s="277"/>
      <c r="N60" s="277"/>
      <c r="O60" s="277"/>
      <c r="P60" s="277"/>
      <c r="Q60" s="277"/>
      <c r="R60" s="277">
        <v>5918207</v>
      </c>
      <c r="S60" s="277">
        <v>5918207</v>
      </c>
      <c r="T60" s="277"/>
      <c r="U60" s="277"/>
      <c r="V60" s="277"/>
      <c r="W60" s="277"/>
      <c r="X60" s="277"/>
      <c r="Y60" s="277"/>
      <c r="Z60" s="277"/>
      <c r="AA60" s="277"/>
      <c r="AB60" s="277"/>
      <c r="AC60" s="277"/>
      <c r="AD60" s="277"/>
      <c r="AE60" s="277"/>
      <c r="AF60" s="274" t="s">
        <v>367</v>
      </c>
      <c r="AG60" s="275" t="s">
        <v>777</v>
      </c>
      <c r="AH60" s="277"/>
      <c r="AI60" s="277"/>
      <c r="AJ60" s="277"/>
      <c r="AK60" s="277"/>
      <c r="AL60" s="277"/>
      <c r="AM60" s="277"/>
      <c r="AN60" s="277"/>
      <c r="AO60" s="277"/>
      <c r="AP60" s="277"/>
      <c r="AQ60" s="277"/>
      <c r="AR60" s="277"/>
      <c r="AS60" s="277"/>
      <c r="AT60" s="277"/>
      <c r="AU60" s="277"/>
      <c r="AV60" s="277"/>
      <c r="AW60" s="277"/>
      <c r="AX60" s="277"/>
      <c r="AY60" s="277"/>
      <c r="AZ60" s="277"/>
      <c r="BA60" s="277"/>
      <c r="BB60" s="277"/>
      <c r="BC60" s="277"/>
      <c r="BD60" s="277"/>
      <c r="BE60" s="277"/>
      <c r="BF60" s="277"/>
      <c r="BG60" s="277"/>
      <c r="BH60" s="277"/>
      <c r="BI60" s="278">
        <f t="shared" si="138"/>
        <v>0</v>
      </c>
      <c r="BJ60" s="278">
        <f t="shared" si="139"/>
        <v>5918207</v>
      </c>
      <c r="BK60" s="278">
        <f t="shared" si="139"/>
        <v>5918207</v>
      </c>
    </row>
    <row r="61" spans="1:63" ht="15.75" x14ac:dyDescent="0.2">
      <c r="A61" s="274" t="s">
        <v>560</v>
      </c>
      <c r="B61" s="275" t="s">
        <v>561</v>
      </c>
      <c r="C61" s="275" t="s">
        <v>169</v>
      </c>
      <c r="D61" s="276"/>
      <c r="E61" s="277"/>
      <c r="F61" s="277">
        <v>1181252</v>
      </c>
      <c r="G61" s="277">
        <v>1181252</v>
      </c>
      <c r="H61" s="277"/>
      <c r="I61" s="277">
        <v>162939</v>
      </c>
      <c r="J61" s="277">
        <v>162939</v>
      </c>
      <c r="K61" s="277"/>
      <c r="L61" s="277">
        <v>90574</v>
      </c>
      <c r="M61" s="277">
        <v>90574</v>
      </c>
      <c r="N61" s="277"/>
      <c r="O61" s="277"/>
      <c r="P61" s="277"/>
      <c r="Q61" s="277"/>
      <c r="R61" s="277"/>
      <c r="S61" s="277"/>
      <c r="T61" s="277"/>
      <c r="U61" s="277"/>
      <c r="V61" s="277"/>
      <c r="W61" s="277"/>
      <c r="X61" s="277"/>
      <c r="Y61" s="277"/>
      <c r="Z61" s="277"/>
      <c r="AA61" s="277">
        <v>10429</v>
      </c>
      <c r="AB61" s="277">
        <v>10429</v>
      </c>
      <c r="AC61" s="277"/>
      <c r="AD61" s="277"/>
      <c r="AE61" s="277"/>
      <c r="AF61" s="274" t="s">
        <v>560</v>
      </c>
      <c r="AG61" s="275" t="s">
        <v>561</v>
      </c>
      <c r="AH61" s="277"/>
      <c r="AI61" s="277"/>
      <c r="AJ61" s="277"/>
      <c r="AK61" s="277"/>
      <c r="AL61" s="277"/>
      <c r="AM61" s="277"/>
      <c r="AN61" s="277"/>
      <c r="AO61" s="277"/>
      <c r="AP61" s="277"/>
      <c r="AQ61" s="277"/>
      <c r="AR61" s="277"/>
      <c r="AS61" s="277"/>
      <c r="AT61" s="277"/>
      <c r="AU61" s="277"/>
      <c r="AV61" s="277"/>
      <c r="AW61" s="277"/>
      <c r="AX61" s="277"/>
      <c r="AY61" s="277"/>
      <c r="AZ61" s="277"/>
      <c r="BA61" s="277"/>
      <c r="BB61" s="277"/>
      <c r="BC61" s="277"/>
      <c r="BD61" s="277"/>
      <c r="BE61" s="277"/>
      <c r="BF61" s="277"/>
      <c r="BG61" s="277"/>
      <c r="BH61" s="277"/>
      <c r="BI61" s="278">
        <f t="shared" si="138"/>
        <v>0</v>
      </c>
      <c r="BJ61" s="278">
        <f t="shared" si="139"/>
        <v>1445194</v>
      </c>
      <c r="BK61" s="278">
        <f t="shared" si="139"/>
        <v>1445194</v>
      </c>
    </row>
    <row r="62" spans="1:63" ht="15.75" x14ac:dyDescent="0.2">
      <c r="A62" s="274"/>
      <c r="B62" s="275"/>
      <c r="C62" s="275"/>
      <c r="D62" s="276"/>
      <c r="E62" s="277"/>
      <c r="F62" s="277"/>
      <c r="G62" s="277"/>
      <c r="H62" s="277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  <c r="X62" s="277"/>
      <c r="Y62" s="277"/>
      <c r="Z62" s="277"/>
      <c r="AA62" s="277"/>
      <c r="AB62" s="277"/>
      <c r="AC62" s="277"/>
      <c r="AD62" s="277"/>
      <c r="AE62" s="277"/>
      <c r="AF62" s="274"/>
      <c r="AG62" s="275"/>
      <c r="AH62" s="277"/>
      <c r="AI62" s="277"/>
      <c r="AJ62" s="277"/>
      <c r="AK62" s="277"/>
      <c r="AL62" s="277"/>
      <c r="AM62" s="277"/>
      <c r="AN62" s="277"/>
      <c r="AO62" s="277"/>
      <c r="AP62" s="277"/>
      <c r="AQ62" s="277"/>
      <c r="AR62" s="277"/>
      <c r="AS62" s="277"/>
      <c r="AT62" s="277"/>
      <c r="AU62" s="277"/>
      <c r="AV62" s="277"/>
      <c r="AW62" s="277"/>
      <c r="AX62" s="277"/>
      <c r="AY62" s="277"/>
      <c r="AZ62" s="277"/>
      <c r="BA62" s="277"/>
      <c r="BB62" s="277"/>
      <c r="BC62" s="277"/>
      <c r="BD62" s="277"/>
      <c r="BE62" s="277"/>
      <c r="BF62" s="277"/>
      <c r="BG62" s="277"/>
      <c r="BH62" s="277"/>
      <c r="BI62" s="278">
        <f t="shared" si="138"/>
        <v>0</v>
      </c>
      <c r="BJ62" s="278">
        <f t="shared" si="139"/>
        <v>0</v>
      </c>
      <c r="BK62" s="278">
        <f t="shared" si="139"/>
        <v>0</v>
      </c>
    </row>
    <row r="63" spans="1:63" ht="15.75" customHeight="1" x14ac:dyDescent="0.2">
      <c r="A63" s="911" t="s">
        <v>490</v>
      </c>
      <c r="B63" s="911"/>
      <c r="C63" s="303"/>
      <c r="D63" s="304">
        <f t="shared" ref="D63:AD63" si="177">SUM(D59:D62)</f>
        <v>21</v>
      </c>
      <c r="E63" s="304">
        <f t="shared" ref="E63" si="178">SUM(E59:E62)</f>
        <v>90470600</v>
      </c>
      <c r="F63" s="304">
        <f t="shared" si="177"/>
        <v>96082973</v>
      </c>
      <c r="G63" s="304">
        <f t="shared" ref="G63" si="179">SUM(G59:G62)</f>
        <v>95296195</v>
      </c>
      <c r="H63" s="304">
        <f t="shared" ref="H63" si="180">SUM(H59:H62)</f>
        <v>17998744</v>
      </c>
      <c r="I63" s="304">
        <f t="shared" si="177"/>
        <v>19095997</v>
      </c>
      <c r="J63" s="304">
        <f t="shared" ref="J63" si="181">SUM(J59:J62)</f>
        <v>18928630</v>
      </c>
      <c r="K63" s="304">
        <f t="shared" ref="K63" si="182">SUM(K59:K62)</f>
        <v>17853000</v>
      </c>
      <c r="L63" s="304">
        <f t="shared" si="177"/>
        <v>18724028</v>
      </c>
      <c r="M63" s="304">
        <f t="shared" ref="M63" si="183">SUM(M59:M62)</f>
        <v>17863243</v>
      </c>
      <c r="N63" s="304">
        <f t="shared" si="177"/>
        <v>0</v>
      </c>
      <c r="O63" s="304">
        <f t="shared" si="177"/>
        <v>0</v>
      </c>
      <c r="P63" s="304">
        <f t="shared" ref="P63" si="184">SUM(P59:P62)</f>
        <v>0</v>
      </c>
      <c r="Q63" s="304">
        <f t="shared" si="177"/>
        <v>0</v>
      </c>
      <c r="R63" s="304">
        <f t="shared" si="177"/>
        <v>5918207</v>
      </c>
      <c r="S63" s="304">
        <f t="shared" ref="S63" si="185">SUM(S59:S62)</f>
        <v>5918207</v>
      </c>
      <c r="T63" s="304">
        <f t="shared" ref="T63" si="186">SUM(T59:T62)</f>
        <v>1200000</v>
      </c>
      <c r="U63" s="304">
        <f t="shared" si="177"/>
        <v>1200000</v>
      </c>
      <c r="V63" s="304">
        <f t="shared" ref="V63" si="187">SUM(V59:V62)</f>
        <v>1200000</v>
      </c>
      <c r="W63" s="304">
        <f t="shared" si="177"/>
        <v>0</v>
      </c>
      <c r="X63" s="304">
        <f t="shared" si="177"/>
        <v>0</v>
      </c>
      <c r="Y63" s="304">
        <f t="shared" ref="Y63" si="188">SUM(Y59:Y62)</f>
        <v>0</v>
      </c>
      <c r="Z63" s="304">
        <f t="shared" si="177"/>
        <v>0</v>
      </c>
      <c r="AA63" s="304">
        <f t="shared" si="177"/>
        <v>10429</v>
      </c>
      <c r="AB63" s="304">
        <f t="shared" ref="AB63" si="189">SUM(AB59:AB62)</f>
        <v>10429</v>
      </c>
      <c r="AC63" s="304">
        <f t="shared" si="177"/>
        <v>0</v>
      </c>
      <c r="AD63" s="304">
        <f t="shared" si="177"/>
        <v>0</v>
      </c>
      <c r="AE63" s="304">
        <f t="shared" ref="AE63" si="190">SUM(AE59:AE62)</f>
        <v>0</v>
      </c>
      <c r="AF63" s="911" t="s">
        <v>490</v>
      </c>
      <c r="AG63" s="911"/>
      <c r="AH63" s="304">
        <f t="shared" ref="AH63" si="191">SUM(AH59:AH62)</f>
        <v>1000000</v>
      </c>
      <c r="AI63" s="304">
        <f t="shared" ref="AI63:BG63" si="192">SUM(AI59:AI62)</f>
        <v>1772555</v>
      </c>
      <c r="AJ63" s="304">
        <f t="shared" ref="AJ63" si="193">SUM(AJ59:AJ62)</f>
        <v>1427655</v>
      </c>
      <c r="AK63" s="304">
        <f t="shared" ref="AK63" si="194">SUM(AK59:AK62)</f>
        <v>0</v>
      </c>
      <c r="AL63" s="304">
        <f t="shared" si="192"/>
        <v>0</v>
      </c>
      <c r="AM63" s="304">
        <f t="shared" ref="AM63" si="195">SUM(AM59:AM62)</f>
        <v>0</v>
      </c>
      <c r="AN63" s="304">
        <f t="shared" si="192"/>
        <v>0</v>
      </c>
      <c r="AO63" s="304">
        <f t="shared" si="192"/>
        <v>0</v>
      </c>
      <c r="AP63" s="304">
        <f t="shared" ref="AP63" si="196">SUM(AP59:AP62)</f>
        <v>0</v>
      </c>
      <c r="AQ63" s="304">
        <f t="shared" si="192"/>
        <v>0</v>
      </c>
      <c r="AR63" s="304">
        <f t="shared" si="192"/>
        <v>600000</v>
      </c>
      <c r="AS63" s="304">
        <f t="shared" ref="AS63" si="197">SUM(AS59:AS62)</f>
        <v>600000</v>
      </c>
      <c r="AT63" s="304">
        <f t="shared" si="192"/>
        <v>0</v>
      </c>
      <c r="AU63" s="304">
        <f t="shared" si="192"/>
        <v>0</v>
      </c>
      <c r="AV63" s="304">
        <f t="shared" ref="AV63" si="198">SUM(AV59:AV62)</f>
        <v>0</v>
      </c>
      <c r="AW63" s="304">
        <f t="shared" si="192"/>
        <v>0</v>
      </c>
      <c r="AX63" s="304">
        <f t="shared" si="192"/>
        <v>0</v>
      </c>
      <c r="AY63" s="304">
        <f t="shared" ref="AY63" si="199">SUM(AY59:AY62)</f>
        <v>0</v>
      </c>
      <c r="AZ63" s="304">
        <f t="shared" si="192"/>
        <v>0</v>
      </c>
      <c r="BA63" s="304">
        <f t="shared" si="192"/>
        <v>0</v>
      </c>
      <c r="BB63" s="304">
        <f t="shared" ref="BB63" si="200">SUM(BB59:BB62)</f>
        <v>0</v>
      </c>
      <c r="BC63" s="304">
        <f t="shared" si="192"/>
        <v>0</v>
      </c>
      <c r="BD63" s="304">
        <f t="shared" si="192"/>
        <v>0</v>
      </c>
      <c r="BE63" s="304">
        <f t="shared" ref="BE63" si="201">SUM(BE59:BE62)</f>
        <v>0</v>
      </c>
      <c r="BF63" s="304">
        <f t="shared" si="192"/>
        <v>0</v>
      </c>
      <c r="BG63" s="304">
        <f t="shared" si="192"/>
        <v>0</v>
      </c>
      <c r="BH63" s="304">
        <f t="shared" ref="BH63" si="202">SUM(BH59:BH62)</f>
        <v>0</v>
      </c>
      <c r="BI63" s="304">
        <f t="shared" si="138"/>
        <v>128522344</v>
      </c>
      <c r="BJ63" s="304">
        <f t="shared" si="139"/>
        <v>143404189</v>
      </c>
      <c r="BK63" s="304">
        <f t="shared" si="139"/>
        <v>141244359</v>
      </c>
    </row>
    <row r="64" spans="1:63" ht="15.75" x14ac:dyDescent="0.2">
      <c r="A64" s="305"/>
      <c r="B64" s="266" t="s">
        <v>467</v>
      </c>
      <c r="C64" s="266"/>
      <c r="D64" s="267"/>
      <c r="E64" s="373"/>
      <c r="F64" s="373"/>
      <c r="G64" s="373"/>
      <c r="H64" s="301"/>
      <c r="I64" s="301"/>
      <c r="J64" s="373"/>
      <c r="K64" s="301"/>
      <c r="L64" s="301"/>
      <c r="M64" s="373"/>
      <c r="N64" s="301"/>
      <c r="O64" s="301"/>
      <c r="P64" s="373"/>
      <c r="Q64" s="301"/>
      <c r="R64" s="301"/>
      <c r="S64" s="373"/>
      <c r="T64" s="278"/>
      <c r="U64" s="278"/>
      <c r="V64" s="373"/>
      <c r="W64" s="301"/>
      <c r="X64" s="278"/>
      <c r="Y64" s="373"/>
      <c r="Z64" s="301"/>
      <c r="AA64" s="278"/>
      <c r="AB64" s="373"/>
      <c r="AC64" s="301"/>
      <c r="AD64" s="278"/>
      <c r="AE64" s="373"/>
      <c r="AF64" s="305"/>
      <c r="AG64" s="266" t="s">
        <v>467</v>
      </c>
      <c r="AH64" s="278"/>
      <c r="AI64" s="278"/>
      <c r="AJ64" s="373"/>
      <c r="AK64" s="278"/>
      <c r="AL64" s="278"/>
      <c r="AM64" s="373"/>
      <c r="AN64" s="301"/>
      <c r="AO64" s="373"/>
      <c r="AP64" s="373"/>
      <c r="AQ64" s="301"/>
      <c r="AR64" s="278"/>
      <c r="AS64" s="373"/>
      <c r="AT64" s="301"/>
      <c r="AU64" s="278"/>
      <c r="AV64" s="373"/>
      <c r="AW64" s="301"/>
      <c r="AX64" s="278"/>
      <c r="AY64" s="373"/>
      <c r="AZ64" s="301"/>
      <c r="BA64" s="278"/>
      <c r="BB64" s="373"/>
      <c r="BC64" s="301"/>
      <c r="BD64" s="278"/>
      <c r="BE64" s="373"/>
      <c r="BF64" s="301"/>
      <c r="BG64" s="278"/>
      <c r="BH64" s="373"/>
      <c r="BI64" s="278">
        <f t="shared" si="138"/>
        <v>0</v>
      </c>
      <c r="BJ64" s="278">
        <f t="shared" si="139"/>
        <v>0</v>
      </c>
      <c r="BK64" s="278">
        <f t="shared" si="139"/>
        <v>0</v>
      </c>
    </row>
    <row r="65" spans="1:65" ht="15.75" x14ac:dyDescent="0.2">
      <c r="A65" s="274" t="s">
        <v>363</v>
      </c>
      <c r="B65" s="280" t="s">
        <v>364</v>
      </c>
      <c r="C65" s="275" t="s">
        <v>169</v>
      </c>
      <c r="D65" s="276"/>
      <c r="E65" s="309"/>
      <c r="F65" s="309"/>
      <c r="G65" s="309"/>
      <c r="H65" s="309"/>
      <c r="I65" s="309"/>
      <c r="J65" s="309"/>
      <c r="K65" s="309">
        <v>2388000</v>
      </c>
      <c r="L65" s="309">
        <v>2678000</v>
      </c>
      <c r="M65" s="309">
        <v>2676456</v>
      </c>
      <c r="N65" s="309"/>
      <c r="O65" s="309"/>
      <c r="P65" s="309"/>
      <c r="Q65" s="309"/>
      <c r="R65" s="309"/>
      <c r="S65" s="309"/>
      <c r="T65" s="277"/>
      <c r="U65" s="277"/>
      <c r="V65" s="309"/>
      <c r="W65" s="309"/>
      <c r="X65" s="277"/>
      <c r="Y65" s="309"/>
      <c r="Z65" s="309"/>
      <c r="AA65" s="277"/>
      <c r="AB65" s="309"/>
      <c r="AC65" s="309"/>
      <c r="AD65" s="277"/>
      <c r="AE65" s="309"/>
      <c r="AF65" s="274" t="s">
        <v>363</v>
      </c>
      <c r="AG65" s="280" t="s">
        <v>364</v>
      </c>
      <c r="AH65" s="315"/>
      <c r="AI65" s="315"/>
      <c r="AJ65" s="309"/>
      <c r="AK65" s="313"/>
      <c r="AL65" s="313"/>
      <c r="AM65" s="309"/>
      <c r="AN65" s="315"/>
      <c r="AO65" s="313"/>
      <c r="AP65" s="309"/>
      <c r="AQ65" s="315"/>
      <c r="AR65" s="313"/>
      <c r="AS65" s="309"/>
      <c r="AT65" s="315"/>
      <c r="AU65" s="313"/>
      <c r="AV65" s="309"/>
      <c r="AW65" s="315"/>
      <c r="AX65" s="313"/>
      <c r="AY65" s="309"/>
      <c r="AZ65" s="315"/>
      <c r="BA65" s="313"/>
      <c r="BB65" s="309"/>
      <c r="BC65" s="315"/>
      <c r="BD65" s="313"/>
      <c r="BE65" s="309"/>
      <c r="BF65" s="315"/>
      <c r="BG65" s="313"/>
      <c r="BH65" s="309"/>
      <c r="BI65" s="278">
        <f t="shared" si="138"/>
        <v>2388000</v>
      </c>
      <c r="BJ65" s="278">
        <f t="shared" si="139"/>
        <v>2678000</v>
      </c>
      <c r="BK65" s="278">
        <f t="shared" si="139"/>
        <v>2676456</v>
      </c>
    </row>
    <row r="66" spans="1:65" ht="15.75" x14ac:dyDescent="0.2">
      <c r="A66" s="274" t="s">
        <v>454</v>
      </c>
      <c r="B66" s="275" t="s">
        <v>455</v>
      </c>
      <c r="C66" s="275" t="s">
        <v>169</v>
      </c>
      <c r="D66" s="276">
        <v>3</v>
      </c>
      <c r="E66" s="315">
        <v>6409581</v>
      </c>
      <c r="F66" s="315">
        <v>8499187</v>
      </c>
      <c r="G66" s="315">
        <v>8499187</v>
      </c>
      <c r="H66" s="315">
        <v>1325138</v>
      </c>
      <c r="I66" s="315">
        <v>1699000</v>
      </c>
      <c r="J66" s="315">
        <v>1698697</v>
      </c>
      <c r="K66" s="315">
        <v>23770553</v>
      </c>
      <c r="L66" s="315">
        <v>3300000</v>
      </c>
      <c r="M66" s="315">
        <v>3268809</v>
      </c>
      <c r="N66" s="315"/>
      <c r="O66" s="315"/>
      <c r="P66" s="315"/>
      <c r="Q66" s="315"/>
      <c r="R66" s="315"/>
      <c r="S66" s="315"/>
      <c r="T66" s="315"/>
      <c r="U66" s="315"/>
      <c r="V66" s="315"/>
      <c r="W66" s="315"/>
      <c r="X66" s="315"/>
      <c r="Y66" s="315"/>
      <c r="Z66" s="315"/>
      <c r="AA66" s="315"/>
      <c r="AB66" s="315"/>
      <c r="AC66" s="315"/>
      <c r="AD66" s="277"/>
      <c r="AE66" s="315"/>
      <c r="AF66" s="274" t="s">
        <v>454</v>
      </c>
      <c r="AG66" s="275" t="s">
        <v>455</v>
      </c>
      <c r="AH66" s="315">
        <v>150000</v>
      </c>
      <c r="AI66" s="315">
        <v>10000</v>
      </c>
      <c r="AJ66" s="315"/>
      <c r="AK66" s="313"/>
      <c r="AL66" s="313"/>
      <c r="AM66" s="315"/>
      <c r="AN66" s="315"/>
      <c r="AO66" s="313"/>
      <c r="AP66" s="315"/>
      <c r="AQ66" s="315"/>
      <c r="AR66" s="313"/>
      <c r="AS66" s="315"/>
      <c r="AT66" s="315"/>
      <c r="AU66" s="313"/>
      <c r="AV66" s="315"/>
      <c r="AW66" s="315"/>
      <c r="AX66" s="313"/>
      <c r="AY66" s="315"/>
      <c r="AZ66" s="315"/>
      <c r="BA66" s="313"/>
      <c r="BB66" s="315"/>
      <c r="BC66" s="315"/>
      <c r="BD66" s="313"/>
      <c r="BE66" s="315"/>
      <c r="BF66" s="315"/>
      <c r="BG66" s="313"/>
      <c r="BH66" s="315"/>
      <c r="BI66" s="278">
        <f t="shared" si="138"/>
        <v>31655272</v>
      </c>
      <c r="BJ66" s="278">
        <f t="shared" si="139"/>
        <v>13508187</v>
      </c>
      <c r="BK66" s="278">
        <f t="shared" si="139"/>
        <v>13466693</v>
      </c>
    </row>
    <row r="67" spans="1:65" ht="15.75" x14ac:dyDescent="0.2">
      <c r="A67" s="274" t="s">
        <v>367</v>
      </c>
      <c r="B67" s="275" t="s">
        <v>368</v>
      </c>
      <c r="C67" s="279" t="s">
        <v>169</v>
      </c>
      <c r="D67" s="270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>
        <v>2212562</v>
      </c>
      <c r="S67" s="315">
        <v>2212562</v>
      </c>
      <c r="T67" s="315"/>
      <c r="U67" s="315"/>
      <c r="V67" s="315"/>
      <c r="W67" s="315"/>
      <c r="X67" s="315"/>
      <c r="Y67" s="315"/>
      <c r="Z67" s="315"/>
      <c r="AA67" s="315"/>
      <c r="AB67" s="315"/>
      <c r="AC67" s="315"/>
      <c r="AD67" s="277"/>
      <c r="AE67" s="315"/>
      <c r="AF67" s="274" t="s">
        <v>367</v>
      </c>
      <c r="AG67" s="275" t="s">
        <v>368</v>
      </c>
      <c r="AH67" s="315"/>
      <c r="AI67" s="315"/>
      <c r="AJ67" s="315"/>
      <c r="AK67" s="313"/>
      <c r="AL67" s="313"/>
      <c r="AM67" s="315"/>
      <c r="AN67" s="315"/>
      <c r="AO67" s="313"/>
      <c r="AP67" s="315"/>
      <c r="AQ67" s="315"/>
      <c r="AR67" s="313"/>
      <c r="AS67" s="315"/>
      <c r="AT67" s="315"/>
      <c r="AU67" s="313"/>
      <c r="AV67" s="315"/>
      <c r="AW67" s="315"/>
      <c r="AX67" s="313"/>
      <c r="AY67" s="315"/>
      <c r="AZ67" s="315"/>
      <c r="BA67" s="313"/>
      <c r="BB67" s="315"/>
      <c r="BC67" s="315"/>
      <c r="BD67" s="313"/>
      <c r="BE67" s="315"/>
      <c r="BF67" s="315"/>
      <c r="BG67" s="313"/>
      <c r="BH67" s="315"/>
      <c r="BI67" s="278">
        <f t="shared" si="138"/>
        <v>0</v>
      </c>
      <c r="BJ67" s="278">
        <f t="shared" si="139"/>
        <v>2212562</v>
      </c>
      <c r="BK67" s="278">
        <f t="shared" si="139"/>
        <v>2212562</v>
      </c>
    </row>
    <row r="68" spans="1:65" ht="15.75" x14ac:dyDescent="0.2">
      <c r="A68" s="274" t="s">
        <v>458</v>
      </c>
      <c r="B68" s="275" t="s">
        <v>491</v>
      </c>
      <c r="C68" s="275" t="s">
        <v>169</v>
      </c>
      <c r="D68" s="276"/>
      <c r="E68" s="315"/>
      <c r="F68" s="315"/>
      <c r="G68" s="315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  <c r="T68" s="315"/>
      <c r="U68" s="315"/>
      <c r="V68" s="315"/>
      <c r="W68" s="315"/>
      <c r="X68" s="315"/>
      <c r="Y68" s="315"/>
      <c r="Z68" s="315"/>
      <c r="AA68" s="315"/>
      <c r="AB68" s="315"/>
      <c r="AC68" s="315"/>
      <c r="AD68" s="277"/>
      <c r="AE68" s="315"/>
      <c r="AF68" s="274" t="s">
        <v>458</v>
      </c>
      <c r="AG68" s="275" t="s">
        <v>491</v>
      </c>
      <c r="AH68" s="315"/>
      <c r="AI68" s="315"/>
      <c r="AJ68" s="315"/>
      <c r="AK68" s="313"/>
      <c r="AL68" s="313"/>
      <c r="AM68" s="315"/>
      <c r="AN68" s="315"/>
      <c r="AO68" s="313"/>
      <c r="AP68" s="315"/>
      <c r="AQ68" s="315"/>
      <c r="AR68" s="313"/>
      <c r="AS68" s="315"/>
      <c r="AT68" s="315"/>
      <c r="AU68" s="313"/>
      <c r="AV68" s="315"/>
      <c r="AW68" s="315"/>
      <c r="AX68" s="313"/>
      <c r="AY68" s="315"/>
      <c r="AZ68" s="315"/>
      <c r="BA68" s="313"/>
      <c r="BB68" s="315"/>
      <c r="BC68" s="315"/>
      <c r="BD68" s="313"/>
      <c r="BE68" s="315"/>
      <c r="BF68" s="315"/>
      <c r="BG68" s="313"/>
      <c r="BH68" s="315"/>
      <c r="BI68" s="278">
        <f t="shared" si="138"/>
        <v>0</v>
      </c>
      <c r="BJ68" s="278">
        <f t="shared" si="139"/>
        <v>0</v>
      </c>
      <c r="BK68" s="278">
        <f t="shared" si="139"/>
        <v>0</v>
      </c>
    </row>
    <row r="69" spans="1:65" ht="15.75" x14ac:dyDescent="0.2">
      <c r="A69" s="274" t="s">
        <v>426</v>
      </c>
      <c r="B69" s="275" t="s">
        <v>461</v>
      </c>
      <c r="C69" s="275" t="s">
        <v>169</v>
      </c>
      <c r="D69" s="276">
        <v>11</v>
      </c>
      <c r="E69" s="315">
        <v>43300624</v>
      </c>
      <c r="F69" s="315">
        <v>42328000</v>
      </c>
      <c r="G69" s="315">
        <v>42327306</v>
      </c>
      <c r="H69" s="315">
        <v>10294692</v>
      </c>
      <c r="I69" s="315">
        <v>8600000</v>
      </c>
      <c r="J69" s="315">
        <v>8537588</v>
      </c>
      <c r="K69" s="315">
        <v>821500</v>
      </c>
      <c r="L69" s="315">
        <v>850000</v>
      </c>
      <c r="M69" s="315">
        <v>834346</v>
      </c>
      <c r="N69" s="315"/>
      <c r="O69" s="315"/>
      <c r="P69" s="315"/>
      <c r="Q69" s="315"/>
      <c r="R69" s="315"/>
      <c r="S69" s="315"/>
      <c r="T69" s="315"/>
      <c r="U69" s="315"/>
      <c r="V69" s="315"/>
      <c r="W69" s="315"/>
      <c r="X69" s="315"/>
      <c r="Y69" s="315"/>
      <c r="Z69" s="315"/>
      <c r="AA69" s="315"/>
      <c r="AB69" s="315"/>
      <c r="AC69" s="315"/>
      <c r="AD69" s="277"/>
      <c r="AE69" s="315"/>
      <c r="AF69" s="274" t="s">
        <v>426</v>
      </c>
      <c r="AG69" s="275" t="s">
        <v>461</v>
      </c>
      <c r="AH69" s="315">
        <v>330000</v>
      </c>
      <c r="AI69" s="315">
        <v>54411</v>
      </c>
      <c r="AJ69" s="315"/>
      <c r="AK69" s="313"/>
      <c r="AL69" s="313"/>
      <c r="AM69" s="315"/>
      <c r="AN69" s="315"/>
      <c r="AO69" s="313"/>
      <c r="AP69" s="315"/>
      <c r="AQ69" s="315"/>
      <c r="AR69" s="313"/>
      <c r="AS69" s="315"/>
      <c r="AT69" s="315"/>
      <c r="AU69" s="313"/>
      <c r="AV69" s="315"/>
      <c r="AW69" s="315"/>
      <c r="AX69" s="313"/>
      <c r="AY69" s="315"/>
      <c r="AZ69" s="315"/>
      <c r="BA69" s="313"/>
      <c r="BB69" s="315"/>
      <c r="BC69" s="315"/>
      <c r="BD69" s="313"/>
      <c r="BE69" s="315"/>
      <c r="BF69" s="315"/>
      <c r="BG69" s="313"/>
      <c r="BH69" s="315"/>
      <c r="BI69" s="278">
        <f t="shared" si="138"/>
        <v>54746816</v>
      </c>
      <c r="BJ69" s="278">
        <f t="shared" si="139"/>
        <v>51832411</v>
      </c>
      <c r="BK69" s="278">
        <f t="shared" si="139"/>
        <v>51699240</v>
      </c>
    </row>
    <row r="70" spans="1:65" ht="15.75" x14ac:dyDescent="0.2">
      <c r="A70" s="274" t="s">
        <v>428</v>
      </c>
      <c r="B70" s="275" t="s">
        <v>462</v>
      </c>
      <c r="C70" s="275" t="s">
        <v>169</v>
      </c>
      <c r="D70" s="276">
        <v>3</v>
      </c>
      <c r="E70" s="309">
        <v>6445527</v>
      </c>
      <c r="F70" s="309">
        <v>6599000</v>
      </c>
      <c r="G70" s="309">
        <v>6598589</v>
      </c>
      <c r="H70" s="309">
        <v>1538288</v>
      </c>
      <c r="I70" s="309">
        <v>2702000</v>
      </c>
      <c r="J70" s="309">
        <v>2701158</v>
      </c>
      <c r="K70" s="309">
        <v>4209363</v>
      </c>
      <c r="L70" s="309">
        <v>7750000</v>
      </c>
      <c r="M70" s="309">
        <v>7565323</v>
      </c>
      <c r="N70" s="309"/>
      <c r="O70" s="309"/>
      <c r="P70" s="309"/>
      <c r="Q70" s="309"/>
      <c r="R70" s="309"/>
      <c r="S70" s="309"/>
      <c r="T70" s="277"/>
      <c r="U70" s="277"/>
      <c r="V70" s="309"/>
      <c r="W70" s="309"/>
      <c r="X70" s="277"/>
      <c r="Y70" s="309"/>
      <c r="Z70" s="309"/>
      <c r="AA70" s="277"/>
      <c r="AB70" s="309"/>
      <c r="AC70" s="309"/>
      <c r="AD70" s="277"/>
      <c r="AE70" s="309"/>
      <c r="AF70" s="274" t="s">
        <v>428</v>
      </c>
      <c r="AG70" s="275" t="s">
        <v>462</v>
      </c>
      <c r="AH70" s="315">
        <v>1320000</v>
      </c>
      <c r="AI70" s="315">
        <v>215589</v>
      </c>
      <c r="AJ70" s="309">
        <v>215589</v>
      </c>
      <c r="AK70" s="313"/>
      <c r="AL70" s="313"/>
      <c r="AM70" s="309"/>
      <c r="AN70" s="315"/>
      <c r="AO70" s="313"/>
      <c r="AP70" s="309"/>
      <c r="AQ70" s="315"/>
      <c r="AR70" s="313"/>
      <c r="AS70" s="309"/>
      <c r="AT70" s="315"/>
      <c r="AU70" s="313"/>
      <c r="AV70" s="309"/>
      <c r="AW70" s="315"/>
      <c r="AX70" s="313"/>
      <c r="AY70" s="309"/>
      <c r="AZ70" s="315"/>
      <c r="BA70" s="313"/>
      <c r="BB70" s="309"/>
      <c r="BC70" s="315"/>
      <c r="BD70" s="313"/>
      <c r="BE70" s="309"/>
      <c r="BF70" s="315"/>
      <c r="BG70" s="313"/>
      <c r="BH70" s="309"/>
      <c r="BI70" s="278">
        <f t="shared" si="138"/>
        <v>13513178</v>
      </c>
      <c r="BJ70" s="278">
        <f t="shared" si="139"/>
        <v>17266589</v>
      </c>
      <c r="BK70" s="278">
        <f t="shared" si="139"/>
        <v>17080659</v>
      </c>
    </row>
    <row r="71" spans="1:65" ht="32.25" customHeight="1" x14ac:dyDescent="0.2">
      <c r="A71" s="274" t="s">
        <v>429</v>
      </c>
      <c r="B71" s="275" t="s">
        <v>430</v>
      </c>
      <c r="C71" s="275" t="s">
        <v>169</v>
      </c>
      <c r="D71" s="276">
        <v>3</v>
      </c>
      <c r="E71" s="309">
        <v>6898433</v>
      </c>
      <c r="F71" s="309">
        <v>7118000</v>
      </c>
      <c r="G71" s="309">
        <v>7117710</v>
      </c>
      <c r="H71" s="309">
        <v>1426206</v>
      </c>
      <c r="I71" s="309">
        <v>1426206</v>
      </c>
      <c r="J71" s="309">
        <v>1422589</v>
      </c>
      <c r="K71" s="309">
        <v>16411122</v>
      </c>
      <c r="L71" s="309">
        <v>19350000</v>
      </c>
      <c r="M71" s="309">
        <v>18348583</v>
      </c>
      <c r="N71" s="309"/>
      <c r="O71" s="309"/>
      <c r="P71" s="309"/>
      <c r="Q71" s="309"/>
      <c r="R71" s="309"/>
      <c r="S71" s="309"/>
      <c r="T71" s="277"/>
      <c r="U71" s="277"/>
      <c r="V71" s="309"/>
      <c r="W71" s="309"/>
      <c r="X71" s="277"/>
      <c r="Y71" s="309"/>
      <c r="Z71" s="309"/>
      <c r="AA71" s="277"/>
      <c r="AB71" s="309"/>
      <c r="AC71" s="309"/>
      <c r="AD71" s="277"/>
      <c r="AE71" s="309"/>
      <c r="AF71" s="274" t="s">
        <v>429</v>
      </c>
      <c r="AG71" s="275" t="s">
        <v>430</v>
      </c>
      <c r="AH71" s="315"/>
      <c r="AI71" s="315"/>
      <c r="AJ71" s="309"/>
      <c r="AK71" s="313"/>
      <c r="AL71" s="313"/>
      <c r="AM71" s="309"/>
      <c r="AN71" s="315"/>
      <c r="AO71" s="313"/>
      <c r="AP71" s="309"/>
      <c r="AQ71" s="315"/>
      <c r="AR71" s="313"/>
      <c r="AS71" s="309"/>
      <c r="AT71" s="315"/>
      <c r="AU71" s="313"/>
      <c r="AV71" s="309"/>
      <c r="AW71" s="315"/>
      <c r="AX71" s="313"/>
      <c r="AY71" s="309"/>
      <c r="AZ71" s="315"/>
      <c r="BA71" s="313"/>
      <c r="BB71" s="309"/>
      <c r="BC71" s="315"/>
      <c r="BD71" s="313"/>
      <c r="BE71" s="309"/>
      <c r="BF71" s="315"/>
      <c r="BG71" s="313"/>
      <c r="BH71" s="309"/>
      <c r="BI71" s="278">
        <f t="shared" si="138"/>
        <v>24735761</v>
      </c>
      <c r="BJ71" s="278">
        <f t="shared" si="139"/>
        <v>27894206</v>
      </c>
      <c r="BK71" s="278">
        <f t="shared" si="139"/>
        <v>26888882</v>
      </c>
      <c r="BM71" s="809"/>
    </row>
    <row r="72" spans="1:65" ht="28.5" customHeight="1" x14ac:dyDescent="0.2">
      <c r="A72" s="274" t="s">
        <v>463</v>
      </c>
      <c r="B72" s="275" t="s">
        <v>464</v>
      </c>
      <c r="C72" s="275" t="s">
        <v>169</v>
      </c>
      <c r="D72" s="276">
        <v>1</v>
      </c>
      <c r="E72" s="309">
        <v>2260557</v>
      </c>
      <c r="F72" s="309">
        <v>990000</v>
      </c>
      <c r="G72" s="309">
        <v>981086</v>
      </c>
      <c r="H72" s="309">
        <v>467355</v>
      </c>
      <c r="I72" s="309">
        <v>130000</v>
      </c>
      <c r="J72" s="309">
        <v>124099</v>
      </c>
      <c r="K72" s="309">
        <v>3391831</v>
      </c>
      <c r="L72" s="309">
        <v>1601000</v>
      </c>
      <c r="M72" s="309">
        <v>1600619</v>
      </c>
      <c r="N72" s="309"/>
      <c r="O72" s="309"/>
      <c r="P72" s="309"/>
      <c r="Q72" s="309"/>
      <c r="R72" s="309"/>
      <c r="S72" s="309"/>
      <c r="T72" s="277"/>
      <c r="U72" s="277"/>
      <c r="V72" s="309"/>
      <c r="W72" s="309"/>
      <c r="X72" s="277"/>
      <c r="Y72" s="309"/>
      <c r="Z72" s="309"/>
      <c r="AA72" s="277"/>
      <c r="AB72" s="309"/>
      <c r="AC72" s="309"/>
      <c r="AD72" s="277"/>
      <c r="AE72" s="309"/>
      <c r="AF72" s="274" t="s">
        <v>463</v>
      </c>
      <c r="AG72" s="275" t="s">
        <v>464</v>
      </c>
      <c r="AH72" s="315"/>
      <c r="AI72" s="315"/>
      <c r="AJ72" s="309"/>
      <c r="AK72" s="313"/>
      <c r="AL72" s="313"/>
      <c r="AM72" s="309"/>
      <c r="AN72" s="315"/>
      <c r="AO72" s="313"/>
      <c r="AP72" s="309"/>
      <c r="AQ72" s="315"/>
      <c r="AR72" s="313"/>
      <c r="AS72" s="309"/>
      <c r="AT72" s="315"/>
      <c r="AU72" s="313"/>
      <c r="AV72" s="309"/>
      <c r="AW72" s="315"/>
      <c r="AX72" s="313"/>
      <c r="AY72" s="309"/>
      <c r="AZ72" s="315"/>
      <c r="BA72" s="313"/>
      <c r="BB72" s="309"/>
      <c r="BC72" s="315"/>
      <c r="BD72" s="313"/>
      <c r="BE72" s="309"/>
      <c r="BF72" s="315"/>
      <c r="BG72" s="313"/>
      <c r="BH72" s="309"/>
      <c r="BI72" s="278">
        <f t="shared" si="138"/>
        <v>6119743</v>
      </c>
      <c r="BJ72" s="278">
        <f t="shared" si="139"/>
        <v>2721000</v>
      </c>
      <c r="BK72" s="278">
        <f t="shared" si="139"/>
        <v>2705804</v>
      </c>
    </row>
    <row r="73" spans="1:65" ht="15.75" x14ac:dyDescent="0.2">
      <c r="A73" s="274" t="s">
        <v>517</v>
      </c>
      <c r="B73" s="275" t="s">
        <v>434</v>
      </c>
      <c r="C73" s="275" t="s">
        <v>169</v>
      </c>
      <c r="D73" s="276">
        <v>6</v>
      </c>
      <c r="E73" s="309">
        <v>16338390</v>
      </c>
      <c r="F73" s="309">
        <v>18137000</v>
      </c>
      <c r="G73" s="309">
        <v>18136978</v>
      </c>
      <c r="H73" s="309">
        <v>3207844</v>
      </c>
      <c r="I73" s="309">
        <f>3207844+69998+27924+22485</f>
        <v>3328251</v>
      </c>
      <c r="J73" s="309">
        <v>3277822</v>
      </c>
      <c r="K73" s="309">
        <v>2456540</v>
      </c>
      <c r="L73" s="309">
        <v>1280000</v>
      </c>
      <c r="M73" s="309">
        <v>1289579</v>
      </c>
      <c r="N73" s="309"/>
      <c r="O73" s="309"/>
      <c r="P73" s="309"/>
      <c r="Q73" s="309"/>
      <c r="R73" s="309"/>
      <c r="S73" s="309"/>
      <c r="T73" s="277"/>
      <c r="U73" s="277"/>
      <c r="V73" s="309"/>
      <c r="W73" s="309"/>
      <c r="X73" s="277"/>
      <c r="Y73" s="309"/>
      <c r="Z73" s="309"/>
      <c r="AA73" s="277"/>
      <c r="AB73" s="309"/>
      <c r="AC73" s="309"/>
      <c r="AD73" s="277"/>
      <c r="AE73" s="309"/>
      <c r="AF73" s="274" t="s">
        <v>517</v>
      </c>
      <c r="AG73" s="275" t="s">
        <v>434</v>
      </c>
      <c r="AH73" s="315">
        <v>400000</v>
      </c>
      <c r="AI73" s="315">
        <v>420000</v>
      </c>
      <c r="AJ73" s="309">
        <v>420000</v>
      </c>
      <c r="AK73" s="313"/>
      <c r="AL73" s="313"/>
      <c r="AM73" s="309"/>
      <c r="AN73" s="315"/>
      <c r="AO73" s="313"/>
      <c r="AP73" s="309"/>
      <c r="AQ73" s="315"/>
      <c r="AR73" s="313"/>
      <c r="AS73" s="309"/>
      <c r="AT73" s="315"/>
      <c r="AU73" s="313"/>
      <c r="AV73" s="309"/>
      <c r="AW73" s="315"/>
      <c r="AX73" s="313"/>
      <c r="AY73" s="309"/>
      <c r="AZ73" s="315"/>
      <c r="BA73" s="313"/>
      <c r="BB73" s="309"/>
      <c r="BC73" s="315"/>
      <c r="BD73" s="313"/>
      <c r="BE73" s="309"/>
      <c r="BF73" s="315"/>
      <c r="BG73" s="313"/>
      <c r="BH73" s="309"/>
      <c r="BI73" s="278">
        <f t="shared" si="138"/>
        <v>22402774</v>
      </c>
      <c r="BJ73" s="278">
        <f t="shared" si="139"/>
        <v>23165251</v>
      </c>
      <c r="BK73" s="278">
        <f t="shared" si="139"/>
        <v>23124379</v>
      </c>
    </row>
    <row r="74" spans="1:65" ht="15.75" x14ac:dyDescent="0.2">
      <c r="A74" s="274" t="s">
        <v>435</v>
      </c>
      <c r="B74" s="275" t="s">
        <v>436</v>
      </c>
      <c r="C74" s="275" t="s">
        <v>169</v>
      </c>
      <c r="D74" s="276"/>
      <c r="E74" s="309"/>
      <c r="F74" s="309">
        <v>777955</v>
      </c>
      <c r="G74" s="309">
        <v>588936</v>
      </c>
      <c r="H74" s="309"/>
      <c r="I74" s="309">
        <v>654320</v>
      </c>
      <c r="J74" s="309">
        <v>117707</v>
      </c>
      <c r="K74" s="309">
        <v>2377456</v>
      </c>
      <c r="L74" s="309">
        <v>23169327</v>
      </c>
      <c r="M74" s="309">
        <v>22152458</v>
      </c>
      <c r="N74" s="309"/>
      <c r="O74" s="309"/>
      <c r="P74" s="309"/>
      <c r="Q74" s="309"/>
      <c r="R74" s="309"/>
      <c r="S74" s="309"/>
      <c r="T74" s="277"/>
      <c r="U74" s="277"/>
      <c r="V74" s="309"/>
      <c r="W74" s="309"/>
      <c r="X74" s="277"/>
      <c r="Y74" s="309"/>
      <c r="Z74" s="309"/>
      <c r="AA74" s="277"/>
      <c r="AB74" s="309"/>
      <c r="AC74" s="309"/>
      <c r="AD74" s="277"/>
      <c r="AE74" s="309"/>
      <c r="AF74" s="274" t="s">
        <v>435</v>
      </c>
      <c r="AG74" s="275" t="s">
        <v>436</v>
      </c>
      <c r="AH74" s="315"/>
      <c r="AI74" s="315"/>
      <c r="AJ74" s="309"/>
      <c r="AK74" s="313"/>
      <c r="AL74" s="313"/>
      <c r="AM74" s="309"/>
      <c r="AN74" s="315"/>
      <c r="AO74" s="313"/>
      <c r="AP74" s="309"/>
      <c r="AQ74" s="315"/>
      <c r="AR74" s="313"/>
      <c r="AS74" s="309"/>
      <c r="AT74" s="315"/>
      <c r="AU74" s="313"/>
      <c r="AV74" s="309"/>
      <c r="AW74" s="315"/>
      <c r="AX74" s="313"/>
      <c r="AY74" s="309"/>
      <c r="AZ74" s="315"/>
      <c r="BA74" s="313"/>
      <c r="BB74" s="309"/>
      <c r="BC74" s="315"/>
      <c r="BD74" s="313"/>
      <c r="BE74" s="309"/>
      <c r="BF74" s="315"/>
      <c r="BG74" s="313"/>
      <c r="BH74" s="309"/>
      <c r="BI74" s="278">
        <f t="shared" ref="BI74:BI85" si="203">SUM(E74+H74+K74+N74+Q74+T74+W74+Z74+AC74+AH74+AK74+AN74+AQ74+AT74+AW74+AZ74+BF74+BC74)</f>
        <v>2377456</v>
      </c>
      <c r="BJ74" s="278">
        <f t="shared" ref="BJ74:BK85" si="204">SUM(F74+I74+L74+O74+R74+U74+X74+AA74+AD74+AI74+AL74+AO74+AR74+AU74+AX74+BA74+BG74+BD74)</f>
        <v>24601602</v>
      </c>
      <c r="BK74" s="278">
        <f t="shared" si="204"/>
        <v>22859101</v>
      </c>
    </row>
    <row r="75" spans="1:65" ht="15.75" x14ac:dyDescent="0.2">
      <c r="A75" s="274" t="s">
        <v>465</v>
      </c>
      <c r="B75" s="275" t="s">
        <v>492</v>
      </c>
      <c r="C75" s="275" t="s">
        <v>169</v>
      </c>
      <c r="D75" s="276"/>
      <c r="E75" s="309"/>
      <c r="F75" s="309"/>
      <c r="G75" s="309"/>
      <c r="H75" s="309"/>
      <c r="I75" s="309"/>
      <c r="J75" s="309"/>
      <c r="K75" s="309"/>
      <c r="L75" s="309"/>
      <c r="M75" s="309"/>
      <c r="N75" s="309"/>
      <c r="O75" s="309"/>
      <c r="P75" s="309"/>
      <c r="Q75" s="309"/>
      <c r="R75" s="309"/>
      <c r="S75" s="309"/>
      <c r="T75" s="277"/>
      <c r="U75" s="277"/>
      <c r="V75" s="309"/>
      <c r="W75" s="309"/>
      <c r="X75" s="277"/>
      <c r="Y75" s="309"/>
      <c r="Z75" s="309"/>
      <c r="AA75" s="277"/>
      <c r="AB75" s="309"/>
      <c r="AC75" s="309"/>
      <c r="AD75" s="277"/>
      <c r="AE75" s="309"/>
      <c r="AF75" s="274" t="s">
        <v>465</v>
      </c>
      <c r="AG75" s="275" t="s">
        <v>492</v>
      </c>
      <c r="AH75" s="315"/>
      <c r="AI75" s="315"/>
      <c r="AJ75" s="309"/>
      <c r="AK75" s="313"/>
      <c r="AL75" s="313"/>
      <c r="AM75" s="309"/>
      <c r="AN75" s="315"/>
      <c r="AO75" s="313"/>
      <c r="AP75" s="309"/>
      <c r="AQ75" s="315"/>
      <c r="AR75" s="313"/>
      <c r="AS75" s="309"/>
      <c r="AT75" s="315"/>
      <c r="AU75" s="313"/>
      <c r="AV75" s="309"/>
      <c r="AW75" s="315"/>
      <c r="AX75" s="313"/>
      <c r="AY75" s="309"/>
      <c r="AZ75" s="315"/>
      <c r="BA75" s="313"/>
      <c r="BB75" s="309"/>
      <c r="BC75" s="315"/>
      <c r="BD75" s="313"/>
      <c r="BE75" s="309"/>
      <c r="BF75" s="315"/>
      <c r="BG75" s="313"/>
      <c r="BH75" s="309"/>
      <c r="BI75" s="278">
        <f t="shared" si="203"/>
        <v>0</v>
      </c>
      <c r="BJ75" s="278">
        <f t="shared" si="204"/>
        <v>0</v>
      </c>
      <c r="BK75" s="278">
        <f t="shared" si="204"/>
        <v>0</v>
      </c>
    </row>
    <row r="76" spans="1:65" ht="15.75" x14ac:dyDescent="0.2">
      <c r="A76" s="302" t="s">
        <v>447</v>
      </c>
      <c r="B76" s="283" t="s">
        <v>448</v>
      </c>
      <c r="C76" s="283" t="s">
        <v>169</v>
      </c>
      <c r="D76" s="284"/>
      <c r="E76" s="281"/>
      <c r="F76" s="281"/>
      <c r="G76" s="281"/>
      <c r="H76" s="281"/>
      <c r="I76" s="281"/>
      <c r="J76" s="281"/>
      <c r="K76" s="281"/>
      <c r="L76" s="281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281"/>
      <c r="X76" s="281"/>
      <c r="Y76" s="281"/>
      <c r="Z76" s="281"/>
      <c r="AA76" s="281"/>
      <c r="AB76" s="281"/>
      <c r="AC76" s="281"/>
      <c r="AD76" s="281"/>
      <c r="AE76" s="281"/>
      <c r="AF76" s="302" t="s">
        <v>447</v>
      </c>
      <c r="AG76" s="283" t="s">
        <v>448</v>
      </c>
      <c r="AH76" s="281"/>
      <c r="AI76" s="281"/>
      <c r="AJ76" s="281"/>
      <c r="AK76" s="296"/>
      <c r="AL76" s="296"/>
      <c r="AM76" s="281"/>
      <c r="AN76" s="281"/>
      <c r="AO76" s="296"/>
      <c r="AP76" s="281"/>
      <c r="AQ76" s="281"/>
      <c r="AR76" s="296"/>
      <c r="AS76" s="281"/>
      <c r="AT76" s="281"/>
      <c r="AU76" s="296"/>
      <c r="AV76" s="281"/>
      <c r="AW76" s="281"/>
      <c r="AX76" s="296"/>
      <c r="AY76" s="281"/>
      <c r="AZ76" s="281"/>
      <c r="BA76" s="296"/>
      <c r="BB76" s="281"/>
      <c r="BC76" s="281"/>
      <c r="BD76" s="296"/>
      <c r="BE76" s="281"/>
      <c r="BF76" s="281"/>
      <c r="BG76" s="296"/>
      <c r="BH76" s="281"/>
      <c r="BI76" s="278">
        <f t="shared" si="203"/>
        <v>0</v>
      </c>
      <c r="BJ76" s="278">
        <f t="shared" si="204"/>
        <v>0</v>
      </c>
      <c r="BK76" s="278">
        <f t="shared" si="204"/>
        <v>0</v>
      </c>
    </row>
    <row r="77" spans="1:65" ht="15.75" customHeight="1" x14ac:dyDescent="0.2">
      <c r="A77" s="912" t="s">
        <v>505</v>
      </c>
      <c r="B77" s="912"/>
      <c r="C77" s="310"/>
      <c r="D77" s="311">
        <f t="shared" ref="D77:N77" si="205">SUM(D65:D76)</f>
        <v>27</v>
      </c>
      <c r="E77" s="304">
        <f t="shared" ref="E77" si="206">SUM(E65:E76)</f>
        <v>81653112</v>
      </c>
      <c r="F77" s="304">
        <f t="shared" si="205"/>
        <v>84449142</v>
      </c>
      <c r="G77" s="304">
        <f t="shared" ref="G77" si="207">SUM(G65:G76)</f>
        <v>84249792</v>
      </c>
      <c r="H77" s="304">
        <f t="shared" ref="H77" si="208">SUM(H65:H76)</f>
        <v>18259523</v>
      </c>
      <c r="I77" s="304">
        <f t="shared" si="205"/>
        <v>18539777</v>
      </c>
      <c r="J77" s="304">
        <f t="shared" ref="J77" si="209">SUM(J65:J76)</f>
        <v>17879660</v>
      </c>
      <c r="K77" s="304">
        <f t="shared" ref="K77" si="210">SUM(K65:K76)</f>
        <v>55826365</v>
      </c>
      <c r="L77" s="304">
        <f t="shared" si="205"/>
        <v>59978327</v>
      </c>
      <c r="M77" s="304">
        <f t="shared" ref="M77" si="211">SUM(M65:M76)</f>
        <v>57736173</v>
      </c>
      <c r="N77" s="304">
        <f t="shared" si="205"/>
        <v>0</v>
      </c>
      <c r="O77" s="304">
        <f t="shared" ref="O77:AE77" si="212">SUM(O65:O76)</f>
        <v>0</v>
      </c>
      <c r="P77" s="304">
        <f t="shared" si="212"/>
        <v>0</v>
      </c>
      <c r="Q77" s="304">
        <f>SUM(Q65:Q76)</f>
        <v>0</v>
      </c>
      <c r="R77" s="304">
        <f t="shared" si="212"/>
        <v>2212562</v>
      </c>
      <c r="S77" s="304">
        <f t="shared" si="212"/>
        <v>2212562</v>
      </c>
      <c r="T77" s="304">
        <f t="shared" ref="T77" si="213">SUM(T65:T76)</f>
        <v>0</v>
      </c>
      <c r="U77" s="304">
        <f t="shared" si="212"/>
        <v>0</v>
      </c>
      <c r="V77" s="304">
        <f t="shared" si="212"/>
        <v>0</v>
      </c>
      <c r="W77" s="304">
        <f>SUM(W65:W76)</f>
        <v>0</v>
      </c>
      <c r="X77" s="304">
        <f t="shared" si="212"/>
        <v>0</v>
      </c>
      <c r="Y77" s="304">
        <f t="shared" si="212"/>
        <v>0</v>
      </c>
      <c r="Z77" s="304">
        <f>SUM(Z65:Z76)</f>
        <v>0</v>
      </c>
      <c r="AA77" s="304">
        <f t="shared" si="212"/>
        <v>0</v>
      </c>
      <c r="AB77" s="304">
        <f t="shared" si="212"/>
        <v>0</v>
      </c>
      <c r="AC77" s="304">
        <f>SUM(AC65:AC76)</f>
        <v>0</v>
      </c>
      <c r="AD77" s="304">
        <f t="shared" si="212"/>
        <v>0</v>
      </c>
      <c r="AE77" s="304">
        <f t="shared" si="212"/>
        <v>0</v>
      </c>
      <c r="AF77" s="912" t="s">
        <v>505</v>
      </c>
      <c r="AG77" s="912"/>
      <c r="AH77" s="304">
        <f t="shared" ref="AH77" si="214">SUM(AH65:AH76)</f>
        <v>2200000</v>
      </c>
      <c r="AI77" s="304">
        <f t="shared" ref="AI77:BH77" si="215">SUM(AI65:AI76)</f>
        <v>700000</v>
      </c>
      <c r="AJ77" s="304">
        <f t="shared" si="215"/>
        <v>635589</v>
      </c>
      <c r="AK77" s="304">
        <f t="shared" ref="AK77" si="216">SUM(AK65:AK76)</f>
        <v>0</v>
      </c>
      <c r="AL77" s="304">
        <f t="shared" si="215"/>
        <v>0</v>
      </c>
      <c r="AM77" s="304">
        <f t="shared" si="215"/>
        <v>0</v>
      </c>
      <c r="AN77" s="304">
        <f>SUM(AN65:AN76)</f>
        <v>0</v>
      </c>
      <c r="AO77" s="304">
        <f t="shared" si="215"/>
        <v>0</v>
      </c>
      <c r="AP77" s="304">
        <f t="shared" si="215"/>
        <v>0</v>
      </c>
      <c r="AQ77" s="304">
        <f>SUM(AQ65:AQ76)</f>
        <v>0</v>
      </c>
      <c r="AR77" s="304">
        <f t="shared" si="215"/>
        <v>0</v>
      </c>
      <c r="AS77" s="304">
        <f t="shared" si="215"/>
        <v>0</v>
      </c>
      <c r="AT77" s="304">
        <f>SUM(AT65:AT76)</f>
        <v>0</v>
      </c>
      <c r="AU77" s="304">
        <f t="shared" si="215"/>
        <v>0</v>
      </c>
      <c r="AV77" s="304">
        <f t="shared" si="215"/>
        <v>0</v>
      </c>
      <c r="AW77" s="304">
        <f>SUM(AW65:AW76)</f>
        <v>0</v>
      </c>
      <c r="AX77" s="304">
        <f t="shared" si="215"/>
        <v>0</v>
      </c>
      <c r="AY77" s="304">
        <f t="shared" si="215"/>
        <v>0</v>
      </c>
      <c r="AZ77" s="304">
        <f>SUM(AZ65:AZ76)</f>
        <v>0</v>
      </c>
      <c r="BA77" s="304">
        <f t="shared" si="215"/>
        <v>0</v>
      </c>
      <c r="BB77" s="304">
        <f t="shared" si="215"/>
        <v>0</v>
      </c>
      <c r="BC77" s="304">
        <f>SUM(BC65:BC76)</f>
        <v>0</v>
      </c>
      <c r="BD77" s="304">
        <f t="shared" ref="BD77:BE77" si="217">SUM(BD65:BD76)</f>
        <v>0</v>
      </c>
      <c r="BE77" s="304">
        <f t="shared" si="217"/>
        <v>0</v>
      </c>
      <c r="BF77" s="304">
        <f>SUM(BF65:BF76)</f>
        <v>0</v>
      </c>
      <c r="BG77" s="304">
        <f t="shared" si="215"/>
        <v>0</v>
      </c>
      <c r="BH77" s="304">
        <f t="shared" si="215"/>
        <v>0</v>
      </c>
      <c r="BI77" s="304">
        <f t="shared" si="203"/>
        <v>157939000</v>
      </c>
      <c r="BJ77" s="304">
        <f t="shared" si="204"/>
        <v>165879808</v>
      </c>
      <c r="BK77" s="304">
        <f t="shared" si="204"/>
        <v>162713776</v>
      </c>
    </row>
    <row r="78" spans="1:65" ht="15.75" x14ac:dyDescent="0.2">
      <c r="A78" s="302" t="s">
        <v>363</v>
      </c>
      <c r="B78" s="283" t="s">
        <v>364</v>
      </c>
      <c r="C78" s="283" t="s">
        <v>169</v>
      </c>
      <c r="D78" s="312"/>
      <c r="E78" s="313"/>
      <c r="F78" s="313"/>
      <c r="G78" s="313"/>
      <c r="H78" s="313"/>
      <c r="I78" s="313"/>
      <c r="J78" s="313"/>
      <c r="K78" s="315">
        <v>1720000</v>
      </c>
      <c r="L78" s="315">
        <v>2200000</v>
      </c>
      <c r="M78" s="313"/>
      <c r="N78" s="315"/>
      <c r="O78" s="313"/>
      <c r="P78" s="313"/>
      <c r="Q78" s="315"/>
      <c r="R78" s="313"/>
      <c r="S78" s="313"/>
      <c r="T78" s="313"/>
      <c r="U78" s="313"/>
      <c r="V78" s="313"/>
      <c r="W78" s="315"/>
      <c r="X78" s="313"/>
      <c r="Y78" s="313"/>
      <c r="Z78" s="315"/>
      <c r="AA78" s="313"/>
      <c r="AB78" s="313"/>
      <c r="AC78" s="315"/>
      <c r="AD78" s="313"/>
      <c r="AE78" s="313"/>
      <c r="AF78" s="302" t="s">
        <v>363</v>
      </c>
      <c r="AG78" s="283" t="s">
        <v>364</v>
      </c>
      <c r="AH78" s="315">
        <v>19963948</v>
      </c>
      <c r="AI78" s="315">
        <v>28410240</v>
      </c>
      <c r="AJ78" s="313"/>
      <c r="AK78" s="313"/>
      <c r="AL78" s="313"/>
      <c r="AM78" s="313"/>
      <c r="AN78" s="315"/>
      <c r="AO78" s="313"/>
      <c r="AP78" s="313"/>
      <c r="AQ78" s="315"/>
      <c r="AR78" s="313"/>
      <c r="AS78" s="313"/>
      <c r="AT78" s="315"/>
      <c r="AU78" s="313"/>
      <c r="AV78" s="313"/>
      <c r="AW78" s="315"/>
      <c r="AX78" s="313"/>
      <c r="AY78" s="313"/>
      <c r="AZ78" s="315"/>
      <c r="BA78" s="313"/>
      <c r="BB78" s="313"/>
      <c r="BC78" s="315"/>
      <c r="BD78" s="313"/>
      <c r="BE78" s="313"/>
      <c r="BF78" s="315"/>
      <c r="BG78" s="313"/>
      <c r="BH78" s="313"/>
      <c r="BI78" s="278">
        <f t="shared" si="203"/>
        <v>21683948</v>
      </c>
      <c r="BJ78" s="278">
        <f t="shared" si="204"/>
        <v>30610240</v>
      </c>
      <c r="BK78" s="278">
        <f t="shared" si="204"/>
        <v>0</v>
      </c>
    </row>
    <row r="79" spans="1:65" ht="15.75" x14ac:dyDescent="0.2">
      <c r="A79" s="274" t="s">
        <v>367</v>
      </c>
      <c r="B79" s="275" t="s">
        <v>368</v>
      </c>
      <c r="C79" s="283" t="s">
        <v>169</v>
      </c>
      <c r="D79" s="312"/>
      <c r="E79" s="313"/>
      <c r="F79" s="313"/>
      <c r="G79" s="313"/>
      <c r="H79" s="313"/>
      <c r="I79" s="313"/>
      <c r="J79" s="313"/>
      <c r="K79" s="313"/>
      <c r="L79" s="313"/>
      <c r="M79" s="313"/>
      <c r="N79" s="313"/>
      <c r="O79" s="313"/>
      <c r="P79" s="313"/>
      <c r="Q79" s="313"/>
      <c r="R79" s="315">
        <v>2496860</v>
      </c>
      <c r="S79" s="315">
        <v>2496860</v>
      </c>
      <c r="T79" s="313"/>
      <c r="U79" s="313"/>
      <c r="V79" s="313"/>
      <c r="W79" s="313"/>
      <c r="X79" s="313"/>
      <c r="Y79" s="313"/>
      <c r="Z79" s="313"/>
      <c r="AA79" s="313"/>
      <c r="AB79" s="313"/>
      <c r="AC79" s="313"/>
      <c r="AD79" s="313"/>
      <c r="AE79" s="313"/>
      <c r="AF79" s="274" t="s">
        <v>367</v>
      </c>
      <c r="AG79" s="275" t="s">
        <v>368</v>
      </c>
      <c r="AH79" s="315"/>
      <c r="AI79" s="315"/>
      <c r="AJ79" s="313"/>
      <c r="AK79" s="313"/>
      <c r="AL79" s="313"/>
      <c r="AM79" s="313"/>
      <c r="AN79" s="313"/>
      <c r="AO79" s="313"/>
      <c r="AP79" s="313"/>
      <c r="AQ79" s="313"/>
      <c r="AR79" s="313"/>
      <c r="AS79" s="313"/>
      <c r="AT79" s="313"/>
      <c r="AU79" s="313"/>
      <c r="AV79" s="313"/>
      <c r="AW79" s="313"/>
      <c r="AX79" s="313"/>
      <c r="AY79" s="313"/>
      <c r="AZ79" s="313"/>
      <c r="BA79" s="313"/>
      <c r="BB79" s="313"/>
      <c r="BC79" s="313"/>
      <c r="BD79" s="313"/>
      <c r="BE79" s="313"/>
      <c r="BF79" s="313"/>
      <c r="BG79" s="313"/>
      <c r="BH79" s="313"/>
      <c r="BI79" s="278">
        <f t="shared" si="203"/>
        <v>0</v>
      </c>
      <c r="BJ79" s="278">
        <f t="shared" si="204"/>
        <v>2496860</v>
      </c>
      <c r="BK79" s="278">
        <f t="shared" si="204"/>
        <v>2496860</v>
      </c>
    </row>
    <row r="80" spans="1:65" ht="15.75" x14ac:dyDescent="0.2">
      <c r="A80" s="302" t="s">
        <v>415</v>
      </c>
      <c r="B80" s="283" t="s">
        <v>416</v>
      </c>
      <c r="C80" s="283" t="s">
        <v>169</v>
      </c>
      <c r="D80" s="314">
        <v>0.6</v>
      </c>
      <c r="E80" s="315">
        <v>1792205</v>
      </c>
      <c r="F80" s="315">
        <v>2356621</v>
      </c>
      <c r="G80" s="315">
        <v>2356621</v>
      </c>
      <c r="H80" s="315">
        <v>317154</v>
      </c>
      <c r="I80" s="315">
        <v>446364</v>
      </c>
      <c r="J80" s="315">
        <v>446364</v>
      </c>
      <c r="K80" s="315">
        <v>2106600</v>
      </c>
      <c r="L80" s="315">
        <v>1775279</v>
      </c>
      <c r="M80" s="315">
        <f>708856+584542</f>
        <v>1293398</v>
      </c>
      <c r="N80" s="315"/>
      <c r="O80" s="315"/>
      <c r="P80" s="315"/>
      <c r="Q80" s="315"/>
      <c r="R80" s="315"/>
      <c r="S80" s="315"/>
      <c r="T80" s="315"/>
      <c r="U80" s="315"/>
      <c r="V80" s="315"/>
      <c r="W80" s="315"/>
      <c r="X80" s="315"/>
      <c r="Y80" s="315"/>
      <c r="Z80" s="315"/>
      <c r="AA80" s="315"/>
      <c r="AB80" s="315"/>
      <c r="AC80" s="315"/>
      <c r="AD80" s="313"/>
      <c r="AE80" s="315"/>
      <c r="AF80" s="302" t="s">
        <v>415</v>
      </c>
      <c r="AG80" s="283" t="s">
        <v>416</v>
      </c>
      <c r="AH80" s="315">
        <v>490000</v>
      </c>
      <c r="AI80" s="315">
        <v>490000</v>
      </c>
      <c r="AJ80" s="315"/>
      <c r="AK80" s="313"/>
      <c r="AL80" s="313"/>
      <c r="AM80" s="315"/>
      <c r="AN80" s="315"/>
      <c r="AO80" s="313"/>
      <c r="AP80" s="315"/>
      <c r="AQ80" s="315"/>
      <c r="AR80" s="313"/>
      <c r="AS80" s="315"/>
      <c r="AT80" s="315"/>
      <c r="AU80" s="313"/>
      <c r="AV80" s="315"/>
      <c r="AW80" s="315"/>
      <c r="AX80" s="313"/>
      <c r="AY80" s="315"/>
      <c r="AZ80" s="315"/>
      <c r="BA80" s="313"/>
      <c r="BB80" s="315"/>
      <c r="BC80" s="315"/>
      <c r="BD80" s="313"/>
      <c r="BE80" s="315"/>
      <c r="BF80" s="315"/>
      <c r="BG80" s="313"/>
      <c r="BH80" s="315"/>
      <c r="BI80" s="278">
        <f t="shared" si="203"/>
        <v>4705959</v>
      </c>
      <c r="BJ80" s="278">
        <f t="shared" si="204"/>
        <v>5068264</v>
      </c>
      <c r="BK80" s="278">
        <f t="shared" si="204"/>
        <v>4096383</v>
      </c>
    </row>
    <row r="81" spans="1:63" ht="15.75" x14ac:dyDescent="0.2">
      <c r="A81" s="302" t="s">
        <v>458</v>
      </c>
      <c r="B81" s="283" t="s">
        <v>468</v>
      </c>
      <c r="C81" s="283" t="s">
        <v>169</v>
      </c>
      <c r="D81" s="314">
        <v>4</v>
      </c>
      <c r="E81" s="315">
        <v>7436527</v>
      </c>
      <c r="F81" s="315">
        <v>11038000</v>
      </c>
      <c r="G81" s="315">
        <f>10033740+589934+413370</f>
        <v>11037044</v>
      </c>
      <c r="H81" s="315">
        <v>1550873</v>
      </c>
      <c r="I81" s="315">
        <v>2149000</v>
      </c>
      <c r="J81" s="315">
        <f>2009724+139176</f>
        <v>2148900</v>
      </c>
      <c r="K81" s="315">
        <v>11330873</v>
      </c>
      <c r="L81" s="315">
        <v>13200000</v>
      </c>
      <c r="M81" s="315">
        <f>11946435+834084</f>
        <v>12780519</v>
      </c>
      <c r="N81" s="315"/>
      <c r="O81" s="315"/>
      <c r="P81" s="315"/>
      <c r="Q81" s="315"/>
      <c r="R81" s="315"/>
      <c r="S81" s="315"/>
      <c r="T81" s="315"/>
      <c r="U81" s="315"/>
      <c r="V81" s="315">
        <v>6270</v>
      </c>
      <c r="W81" s="315"/>
      <c r="X81" s="315"/>
      <c r="Y81" s="315"/>
      <c r="Z81" s="315"/>
      <c r="AA81" s="315">
        <v>50000</v>
      </c>
      <c r="AB81" s="315">
        <v>50000</v>
      </c>
      <c r="AC81" s="315"/>
      <c r="AD81" s="313"/>
      <c r="AE81" s="315"/>
      <c r="AF81" s="302" t="s">
        <v>458</v>
      </c>
      <c r="AG81" s="283" t="s">
        <v>468</v>
      </c>
      <c r="AH81" s="315">
        <v>510000</v>
      </c>
      <c r="AI81" s="315">
        <f>'5.sz.m.-Beruházás és felújítás'!C60+'5.sz.m.-Beruházás és felújítás'!C61+'5.sz.m.-Beruházás és felújítás'!C64</f>
        <v>510000</v>
      </c>
      <c r="AJ81" s="315">
        <f>14503873+1801400</f>
        <v>16305273</v>
      </c>
      <c r="AK81" s="313"/>
      <c r="AL81" s="313"/>
      <c r="AM81" s="315"/>
      <c r="AN81" s="315"/>
      <c r="AO81" s="313"/>
      <c r="AP81" s="315"/>
      <c r="AQ81" s="315"/>
      <c r="AR81" s="313"/>
      <c r="AS81" s="315"/>
      <c r="AT81" s="315"/>
      <c r="AU81" s="313"/>
      <c r="AV81" s="315"/>
      <c r="AW81" s="315"/>
      <c r="AX81" s="313"/>
      <c r="AY81" s="315"/>
      <c r="AZ81" s="315"/>
      <c r="BA81" s="313"/>
      <c r="BB81" s="315"/>
      <c r="BC81" s="315"/>
      <c r="BD81" s="313"/>
      <c r="BE81" s="315"/>
      <c r="BF81" s="315"/>
      <c r="BG81" s="313"/>
      <c r="BH81" s="315"/>
      <c r="BI81" s="278">
        <f t="shared" si="203"/>
        <v>20828273</v>
      </c>
      <c r="BJ81" s="278">
        <f t="shared" si="204"/>
        <v>26947000</v>
      </c>
      <c r="BK81" s="278">
        <f t="shared" si="204"/>
        <v>42328006</v>
      </c>
    </row>
    <row r="82" spans="1:63" ht="15.75" x14ac:dyDescent="0.2">
      <c r="A82" s="274" t="s">
        <v>419</v>
      </c>
      <c r="B82" s="279" t="s">
        <v>420</v>
      </c>
      <c r="C82" s="283"/>
      <c r="D82" s="314"/>
      <c r="E82" s="315"/>
      <c r="F82" s="315"/>
      <c r="G82" s="315"/>
      <c r="H82" s="315"/>
      <c r="I82" s="315"/>
      <c r="J82" s="315"/>
      <c r="K82" s="315"/>
      <c r="L82" s="315">
        <v>3047000</v>
      </c>
      <c r="M82" s="315"/>
      <c r="N82" s="315"/>
      <c r="O82" s="315"/>
      <c r="P82" s="315"/>
      <c r="Q82" s="315"/>
      <c r="R82" s="315"/>
      <c r="S82" s="315"/>
      <c r="T82" s="315"/>
      <c r="U82" s="315">
        <v>6270</v>
      </c>
      <c r="V82" s="315"/>
      <c r="W82" s="315"/>
      <c r="X82" s="315"/>
      <c r="Y82" s="315"/>
      <c r="Z82" s="315"/>
      <c r="AA82" s="315"/>
      <c r="AB82" s="315"/>
      <c r="AC82" s="315"/>
      <c r="AD82" s="313"/>
      <c r="AE82" s="315"/>
      <c r="AF82" s="274" t="s">
        <v>419</v>
      </c>
      <c r="AG82" s="279" t="s">
        <v>420</v>
      </c>
      <c r="AH82" s="315"/>
      <c r="AI82" s="315"/>
      <c r="AJ82" s="315"/>
      <c r="AK82" s="313"/>
      <c r="AL82" s="313"/>
      <c r="AM82" s="315"/>
      <c r="AN82" s="315"/>
      <c r="AO82" s="313"/>
      <c r="AP82" s="315"/>
      <c r="AQ82" s="315"/>
      <c r="AR82" s="313"/>
      <c r="AS82" s="315"/>
      <c r="AT82" s="315"/>
      <c r="AU82" s="313"/>
      <c r="AV82" s="315"/>
      <c r="AW82" s="315"/>
      <c r="AX82" s="313"/>
      <c r="AY82" s="315"/>
      <c r="AZ82" s="315"/>
      <c r="BA82" s="313"/>
      <c r="BB82" s="315"/>
      <c r="BC82" s="315"/>
      <c r="BD82" s="313"/>
      <c r="BE82" s="315"/>
      <c r="BF82" s="315"/>
      <c r="BG82" s="313"/>
      <c r="BH82" s="315"/>
      <c r="BI82" s="278">
        <f t="shared" si="203"/>
        <v>0</v>
      </c>
      <c r="BJ82" s="278">
        <f t="shared" si="204"/>
        <v>3053270</v>
      </c>
      <c r="BK82" s="278">
        <f t="shared" si="204"/>
        <v>0</v>
      </c>
    </row>
    <row r="83" spans="1:63" ht="15.75" x14ac:dyDescent="0.2">
      <c r="A83" s="302" t="s">
        <v>421</v>
      </c>
      <c r="B83" s="283" t="s">
        <v>469</v>
      </c>
      <c r="C83" s="283" t="s">
        <v>169</v>
      </c>
      <c r="D83" s="314"/>
      <c r="E83" s="315">
        <v>1863499</v>
      </c>
      <c r="F83" s="315">
        <v>1568220</v>
      </c>
      <c r="G83" s="315">
        <v>1231250</v>
      </c>
      <c r="H83" s="315">
        <v>426701</v>
      </c>
      <c r="I83" s="315">
        <v>495770</v>
      </c>
      <c r="J83" s="315">
        <v>495870</v>
      </c>
      <c r="K83" s="315">
        <v>3912620</v>
      </c>
      <c r="L83" s="315">
        <v>6790315</v>
      </c>
      <c r="M83" s="315">
        <v>5018721</v>
      </c>
      <c r="N83" s="315"/>
      <c r="O83" s="315"/>
      <c r="P83" s="315"/>
      <c r="Q83" s="315"/>
      <c r="R83" s="315"/>
      <c r="S83" s="315"/>
      <c r="T83" s="315"/>
      <c r="U83" s="315"/>
      <c r="V83" s="315"/>
      <c r="W83" s="315"/>
      <c r="X83" s="315"/>
      <c r="Y83" s="315"/>
      <c r="Z83" s="315"/>
      <c r="AA83" s="315"/>
      <c r="AB83" s="315"/>
      <c r="AC83" s="315"/>
      <c r="AD83" s="313"/>
      <c r="AE83" s="315"/>
      <c r="AF83" s="302" t="s">
        <v>421</v>
      </c>
      <c r="AG83" s="283" t="s">
        <v>469</v>
      </c>
      <c r="AH83" s="315">
        <v>300000</v>
      </c>
      <c r="AI83" s="315">
        <v>300000</v>
      </c>
      <c r="AJ83" s="315"/>
      <c r="AK83" s="313"/>
      <c r="AL83" s="313"/>
      <c r="AM83" s="315"/>
      <c r="AN83" s="315"/>
      <c r="AO83" s="313"/>
      <c r="AP83" s="315"/>
      <c r="AQ83" s="315"/>
      <c r="AR83" s="313"/>
      <c r="AS83" s="315"/>
      <c r="AT83" s="315"/>
      <c r="AU83" s="313"/>
      <c r="AV83" s="315"/>
      <c r="AW83" s="315"/>
      <c r="AX83" s="313"/>
      <c r="AY83" s="315"/>
      <c r="AZ83" s="315"/>
      <c r="BA83" s="313"/>
      <c r="BB83" s="315"/>
      <c r="BC83" s="315"/>
      <c r="BD83" s="313"/>
      <c r="BE83" s="315"/>
      <c r="BF83" s="315"/>
      <c r="BG83" s="313"/>
      <c r="BH83" s="315"/>
      <c r="BI83" s="278">
        <f t="shared" si="203"/>
        <v>6502820</v>
      </c>
      <c r="BJ83" s="278">
        <f t="shared" si="204"/>
        <v>9154305</v>
      </c>
      <c r="BK83" s="278">
        <f t="shared" si="204"/>
        <v>6745841</v>
      </c>
    </row>
    <row r="84" spans="1:63" ht="15.75" customHeight="1" x14ac:dyDescent="0.2">
      <c r="A84" s="912" t="s">
        <v>506</v>
      </c>
      <c r="B84" s="912"/>
      <c r="C84" s="316"/>
      <c r="D84" s="311">
        <f t="shared" ref="D84" si="218">SUM(D78:D83)</f>
        <v>4.5999999999999996</v>
      </c>
      <c r="E84" s="304">
        <f>SUM(E78:E83)</f>
        <v>11092231</v>
      </c>
      <c r="F84" s="304">
        <f t="shared" ref="F84:AE84" si="219">SUM(F78:F83)</f>
        <v>14962841</v>
      </c>
      <c r="G84" s="304">
        <f t="shared" si="219"/>
        <v>14624915</v>
      </c>
      <c r="H84" s="304">
        <f t="shared" si="219"/>
        <v>2294728</v>
      </c>
      <c r="I84" s="304">
        <f t="shared" si="219"/>
        <v>3091134</v>
      </c>
      <c r="J84" s="304">
        <f t="shared" si="219"/>
        <v>3091134</v>
      </c>
      <c r="K84" s="304">
        <f t="shared" si="219"/>
        <v>19070093</v>
      </c>
      <c r="L84" s="304">
        <f t="shared" si="219"/>
        <v>27012594</v>
      </c>
      <c r="M84" s="304">
        <f t="shared" si="219"/>
        <v>19092638</v>
      </c>
      <c r="N84" s="304">
        <f t="shared" si="219"/>
        <v>0</v>
      </c>
      <c r="O84" s="304">
        <f t="shared" si="219"/>
        <v>0</v>
      </c>
      <c r="P84" s="304">
        <f t="shared" si="219"/>
        <v>0</v>
      </c>
      <c r="Q84" s="304">
        <f t="shared" si="219"/>
        <v>0</v>
      </c>
      <c r="R84" s="304">
        <f t="shared" si="219"/>
        <v>2496860</v>
      </c>
      <c r="S84" s="304">
        <f t="shared" si="219"/>
        <v>2496860</v>
      </c>
      <c r="T84" s="304">
        <f t="shared" si="219"/>
        <v>0</v>
      </c>
      <c r="U84" s="304">
        <f t="shared" si="219"/>
        <v>6270</v>
      </c>
      <c r="V84" s="304">
        <f t="shared" si="219"/>
        <v>6270</v>
      </c>
      <c r="W84" s="304">
        <f t="shared" si="219"/>
        <v>0</v>
      </c>
      <c r="X84" s="304">
        <f t="shared" si="219"/>
        <v>0</v>
      </c>
      <c r="Y84" s="304">
        <f t="shared" si="219"/>
        <v>0</v>
      </c>
      <c r="Z84" s="304">
        <f t="shared" si="219"/>
        <v>0</v>
      </c>
      <c r="AA84" s="304">
        <f t="shared" si="219"/>
        <v>50000</v>
      </c>
      <c r="AB84" s="304">
        <f t="shared" si="219"/>
        <v>50000</v>
      </c>
      <c r="AC84" s="304">
        <f t="shared" si="219"/>
        <v>0</v>
      </c>
      <c r="AD84" s="304">
        <f t="shared" si="219"/>
        <v>0</v>
      </c>
      <c r="AE84" s="304">
        <f t="shared" si="219"/>
        <v>0</v>
      </c>
      <c r="AF84" s="912" t="s">
        <v>506</v>
      </c>
      <c r="AG84" s="912"/>
      <c r="AH84" s="304">
        <f t="shared" ref="AH84:BH84" si="220">SUM(AH78:AH83)</f>
        <v>21263948</v>
      </c>
      <c r="AI84" s="304">
        <f t="shared" si="220"/>
        <v>29710240</v>
      </c>
      <c r="AJ84" s="304">
        <f t="shared" si="220"/>
        <v>16305273</v>
      </c>
      <c r="AK84" s="304">
        <f t="shared" si="220"/>
        <v>0</v>
      </c>
      <c r="AL84" s="304">
        <f t="shared" si="220"/>
        <v>0</v>
      </c>
      <c r="AM84" s="304">
        <f t="shared" si="220"/>
        <v>0</v>
      </c>
      <c r="AN84" s="304">
        <f t="shared" si="220"/>
        <v>0</v>
      </c>
      <c r="AO84" s="304">
        <f t="shared" si="220"/>
        <v>0</v>
      </c>
      <c r="AP84" s="304">
        <f t="shared" si="220"/>
        <v>0</v>
      </c>
      <c r="AQ84" s="304">
        <f t="shared" si="220"/>
        <v>0</v>
      </c>
      <c r="AR84" s="304">
        <f t="shared" si="220"/>
        <v>0</v>
      </c>
      <c r="AS84" s="304">
        <f t="shared" si="220"/>
        <v>0</v>
      </c>
      <c r="AT84" s="304">
        <f t="shared" si="220"/>
        <v>0</v>
      </c>
      <c r="AU84" s="304">
        <f t="shared" si="220"/>
        <v>0</v>
      </c>
      <c r="AV84" s="304">
        <f t="shared" si="220"/>
        <v>0</v>
      </c>
      <c r="AW84" s="304">
        <f t="shared" si="220"/>
        <v>0</v>
      </c>
      <c r="AX84" s="304">
        <f t="shared" si="220"/>
        <v>0</v>
      </c>
      <c r="AY84" s="304">
        <f t="shared" si="220"/>
        <v>0</v>
      </c>
      <c r="AZ84" s="304">
        <f t="shared" si="220"/>
        <v>0</v>
      </c>
      <c r="BA84" s="304">
        <f t="shared" si="220"/>
        <v>0</v>
      </c>
      <c r="BB84" s="304">
        <f t="shared" si="220"/>
        <v>0</v>
      </c>
      <c r="BC84" s="304">
        <f t="shared" si="220"/>
        <v>0</v>
      </c>
      <c r="BD84" s="304">
        <f t="shared" si="220"/>
        <v>0</v>
      </c>
      <c r="BE84" s="304">
        <f t="shared" si="220"/>
        <v>0</v>
      </c>
      <c r="BF84" s="304">
        <f t="shared" si="220"/>
        <v>0</v>
      </c>
      <c r="BG84" s="304">
        <f t="shared" si="220"/>
        <v>0</v>
      </c>
      <c r="BH84" s="304">
        <f t="shared" si="220"/>
        <v>0</v>
      </c>
      <c r="BI84" s="304">
        <f t="shared" si="203"/>
        <v>53721000</v>
      </c>
      <c r="BJ84" s="304">
        <f t="shared" si="204"/>
        <v>77329939</v>
      </c>
      <c r="BK84" s="304">
        <f t="shared" si="204"/>
        <v>55667090</v>
      </c>
    </row>
    <row r="85" spans="1:63" ht="15.75" customHeight="1" x14ac:dyDescent="0.2">
      <c r="A85" s="910" t="s">
        <v>493</v>
      </c>
      <c r="B85" s="910"/>
      <c r="C85" s="317"/>
      <c r="D85" s="318">
        <f t="shared" ref="D85:AD85" si="221">SUM(D56,D63,D77,D84)</f>
        <v>98.6</v>
      </c>
      <c r="E85" s="319">
        <f t="shared" ref="E85" si="222">SUM(E56,E63,E77,E84)</f>
        <v>237591373</v>
      </c>
      <c r="F85" s="319">
        <f t="shared" si="221"/>
        <v>252313163</v>
      </c>
      <c r="G85" s="319">
        <f t="shared" ref="G85" si="223">SUM(G56,G63,G77,G84)</f>
        <v>249846496</v>
      </c>
      <c r="H85" s="319">
        <f t="shared" ref="H85" si="224">SUM(H56,H63,H77,H84)</f>
        <v>49918348</v>
      </c>
      <c r="I85" s="319">
        <f t="shared" si="221"/>
        <v>52517385</v>
      </c>
      <c r="J85" s="319">
        <f t="shared" ref="J85" si="225">SUM(J56,J63,J77,J84)</f>
        <v>51117047</v>
      </c>
      <c r="K85" s="319">
        <f t="shared" ref="K85" si="226">SUM(K56,K63,K77,K84)</f>
        <v>436600469</v>
      </c>
      <c r="L85" s="319">
        <f t="shared" si="221"/>
        <v>502066578</v>
      </c>
      <c r="M85" s="319">
        <f t="shared" ref="M85" si="227">SUM(M56,M63,M77,M84)</f>
        <v>433848022</v>
      </c>
      <c r="N85" s="319">
        <f t="shared" si="221"/>
        <v>7500000</v>
      </c>
      <c r="O85" s="319">
        <f t="shared" si="221"/>
        <v>7334420</v>
      </c>
      <c r="P85" s="319">
        <f t="shared" ref="P85" si="228">SUM(P56,P63,P77,P84)</f>
        <v>4727306</v>
      </c>
      <c r="Q85" s="319">
        <f t="shared" si="221"/>
        <v>0</v>
      </c>
      <c r="R85" s="319">
        <f t="shared" si="221"/>
        <v>10627629</v>
      </c>
      <c r="S85" s="319">
        <f t="shared" ref="S85" si="229">SUM(S56,S63,S77,S84)</f>
        <v>10627629</v>
      </c>
      <c r="T85" s="319">
        <f t="shared" ref="T85" si="230">SUM(T56,T63,T77,T84)</f>
        <v>52516408</v>
      </c>
      <c r="U85" s="319">
        <f t="shared" si="221"/>
        <v>61611684</v>
      </c>
      <c r="V85" s="319">
        <f t="shared" ref="V85" si="231">SUM(V56,V63,V77,V84)</f>
        <v>61461684</v>
      </c>
      <c r="W85" s="319">
        <f t="shared" si="221"/>
        <v>1000000</v>
      </c>
      <c r="X85" s="319">
        <f t="shared" si="221"/>
        <v>1000000</v>
      </c>
      <c r="Y85" s="319">
        <f t="shared" ref="Y85" si="232">SUM(Y56,Y63,Y77,Y84)</f>
        <v>342000</v>
      </c>
      <c r="Z85" s="319">
        <f t="shared" si="221"/>
        <v>78000000</v>
      </c>
      <c r="AA85" s="319">
        <f t="shared" si="221"/>
        <v>99258236</v>
      </c>
      <c r="AB85" s="319">
        <f t="shared" ref="AB85" si="233">SUM(AB56,AB63,AB77,AB84)</f>
        <v>96258236</v>
      </c>
      <c r="AC85" s="319">
        <f t="shared" si="221"/>
        <v>255712508</v>
      </c>
      <c r="AD85" s="319">
        <f t="shared" si="221"/>
        <v>538653284</v>
      </c>
      <c r="AE85" s="319">
        <f t="shared" ref="AE85" si="234">SUM(AE56,AE63,AE77,AE84)</f>
        <v>0</v>
      </c>
      <c r="AF85" s="910" t="s">
        <v>493</v>
      </c>
      <c r="AG85" s="910"/>
      <c r="AH85" s="319">
        <f t="shared" ref="AH85" si="235">SUM(AH56,AH63,AH77,AH84)</f>
        <v>751946293</v>
      </c>
      <c r="AI85" s="319">
        <f t="shared" ref="AI85:BH85" si="236">SUM(AI56,AI63,AI77,AI84)</f>
        <v>744615030</v>
      </c>
      <c r="AJ85" s="319">
        <f t="shared" si="236"/>
        <v>286757526</v>
      </c>
      <c r="AK85" s="319">
        <f t="shared" ref="AK85" si="237">SUM(AK56,AK63,AK77,AK84)</f>
        <v>32843676</v>
      </c>
      <c r="AL85" s="319">
        <f t="shared" si="236"/>
        <v>43758543</v>
      </c>
      <c r="AM85" s="319">
        <f t="shared" si="236"/>
        <v>9492047</v>
      </c>
      <c r="AN85" s="319">
        <f t="shared" si="236"/>
        <v>0</v>
      </c>
      <c r="AO85" s="319">
        <f t="shared" si="236"/>
        <v>21531976</v>
      </c>
      <c r="AP85" s="319">
        <f t="shared" si="236"/>
        <v>0</v>
      </c>
      <c r="AQ85" s="319">
        <f t="shared" si="236"/>
        <v>1000000</v>
      </c>
      <c r="AR85" s="319">
        <f t="shared" si="236"/>
        <v>1600000</v>
      </c>
      <c r="AS85" s="319">
        <f t="shared" si="236"/>
        <v>1100000</v>
      </c>
      <c r="AT85" s="319">
        <f t="shared" si="236"/>
        <v>600000</v>
      </c>
      <c r="AU85" s="319">
        <f t="shared" si="236"/>
        <v>600000</v>
      </c>
      <c r="AV85" s="319">
        <f t="shared" si="236"/>
        <v>500000</v>
      </c>
      <c r="AW85" s="319">
        <f t="shared" si="236"/>
        <v>13820000</v>
      </c>
      <c r="AX85" s="319">
        <f t="shared" si="236"/>
        <v>13640747</v>
      </c>
      <c r="AY85" s="319">
        <f t="shared" si="236"/>
        <v>3640747</v>
      </c>
      <c r="AZ85" s="319">
        <f t="shared" si="236"/>
        <v>10000000</v>
      </c>
      <c r="BA85" s="319">
        <f t="shared" si="236"/>
        <v>10000000</v>
      </c>
      <c r="BB85" s="319">
        <f t="shared" si="236"/>
        <v>10000000</v>
      </c>
      <c r="BC85" s="319">
        <f t="shared" si="236"/>
        <v>100000000</v>
      </c>
      <c r="BD85" s="319">
        <f t="shared" si="236"/>
        <v>100000000</v>
      </c>
      <c r="BE85" s="319">
        <f t="shared" si="236"/>
        <v>100000000</v>
      </c>
      <c r="BF85" s="319">
        <f t="shared" si="236"/>
        <v>14048925</v>
      </c>
      <c r="BG85" s="319">
        <f t="shared" si="236"/>
        <v>14114285</v>
      </c>
      <c r="BH85" s="319">
        <f t="shared" si="236"/>
        <v>14098979</v>
      </c>
      <c r="BI85" s="319">
        <f t="shared" si="203"/>
        <v>2043098000</v>
      </c>
      <c r="BJ85" s="319">
        <f t="shared" si="204"/>
        <v>2475242960</v>
      </c>
      <c r="BK85" s="319">
        <f t="shared" si="204"/>
        <v>1333817719</v>
      </c>
    </row>
  </sheetData>
  <mergeCells count="38">
    <mergeCell ref="AH1:AJ2"/>
    <mergeCell ref="AK1:AM2"/>
    <mergeCell ref="A85:B85"/>
    <mergeCell ref="AF85:AG85"/>
    <mergeCell ref="A63:B63"/>
    <mergeCell ref="AF63:AG63"/>
    <mergeCell ref="A77:B77"/>
    <mergeCell ref="AF77:AG77"/>
    <mergeCell ref="A84:B84"/>
    <mergeCell ref="AF84:AG84"/>
    <mergeCell ref="C2:C3"/>
    <mergeCell ref="A56:B56"/>
    <mergeCell ref="AF56:AG56"/>
    <mergeCell ref="AF1:AF3"/>
    <mergeCell ref="AG1:AG3"/>
    <mergeCell ref="A1:A3"/>
    <mergeCell ref="B1:B3"/>
    <mergeCell ref="D1:D2"/>
    <mergeCell ref="E1:G2"/>
    <mergeCell ref="H1:J2"/>
    <mergeCell ref="K1:M2"/>
    <mergeCell ref="N1:P2"/>
    <mergeCell ref="Q2:S2"/>
    <mergeCell ref="T2:V2"/>
    <mergeCell ref="W2:Y2"/>
    <mergeCell ref="Z2:AB2"/>
    <mergeCell ref="Q1:AE1"/>
    <mergeCell ref="AC2:AE2"/>
    <mergeCell ref="AN2:AP2"/>
    <mergeCell ref="AQ2:AS2"/>
    <mergeCell ref="AT2:AV2"/>
    <mergeCell ref="AW2:AY2"/>
    <mergeCell ref="AN1:AY1"/>
    <mergeCell ref="AZ2:BB2"/>
    <mergeCell ref="BC2:BE2"/>
    <mergeCell ref="BF2:BH2"/>
    <mergeCell ref="AZ1:BH1"/>
    <mergeCell ref="BI1:BK2"/>
  </mergeCells>
  <pageMargins left="0.70866141732283472" right="0.70866141732283472" top="0.74803149606299213" bottom="0.74803149606299213" header="0.31496062992125984" footer="0.31496062992125984"/>
  <pageSetup paperSize="8" scale="50" fitToWidth="0" orientation="landscape" r:id="rId1"/>
  <headerFooter>
    <oddHeader xml:space="preserve">&amp;C&amp;"Arial CE,Félkövér"
11/2019. (V.17.) számú költségvetési rendelethez
ZALAKAROS VÁROS ÖNKORMÁNYZATA ÉS KÖLTSÉGVETÉSI SZERVEI 
2018. ÉVI KIADÁSAI COFOG-ONKÉNT
 &amp;R&amp;P.oldal
&amp;A
1000.-Ft-ban
</oddHeader>
  </headerFooter>
  <rowBreaks count="1" manualBreakCount="1">
    <brk id="56" max="16383" man="1"/>
  </rowBreaks>
  <colBreaks count="1" manualBreakCount="1">
    <brk id="3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114"/>
  <sheetViews>
    <sheetView topLeftCell="A23" zoomScaleNormal="100" zoomScaleSheetLayoutView="100" workbookViewId="0">
      <selection activeCell="H26" sqref="H26:H36"/>
    </sheetView>
  </sheetViews>
  <sheetFormatPr defaultColWidth="11.42578125" defaultRowHeight="15" x14ac:dyDescent="0.2"/>
  <cols>
    <col min="1" max="1" width="7.28515625" style="3" customWidth="1"/>
    <col min="2" max="2" width="75" style="3" customWidth="1"/>
    <col min="3" max="3" width="16.28515625" style="3" customWidth="1"/>
    <col min="4" max="4" width="17.140625" style="3" customWidth="1"/>
    <col min="5" max="6" width="16.140625" style="3" customWidth="1"/>
    <col min="7" max="7" width="15.85546875" style="3" customWidth="1"/>
    <col min="8" max="8" width="16" style="3" bestFit="1" customWidth="1"/>
    <col min="9" max="16384" width="11.42578125" style="3"/>
  </cols>
  <sheetData>
    <row r="1" spans="1:8" ht="36.75" customHeight="1" x14ac:dyDescent="0.2">
      <c r="A1" s="424" t="s">
        <v>705</v>
      </c>
      <c r="B1" s="424" t="s">
        <v>15</v>
      </c>
      <c r="C1" s="424" t="s">
        <v>246</v>
      </c>
      <c r="D1" s="424" t="s">
        <v>316</v>
      </c>
      <c r="E1" s="424" t="s">
        <v>642</v>
      </c>
      <c r="F1" s="424" t="s">
        <v>780</v>
      </c>
      <c r="G1" s="424" t="s">
        <v>787</v>
      </c>
      <c r="H1" s="424" t="s">
        <v>788</v>
      </c>
    </row>
    <row r="2" spans="1:8" ht="20.100000000000001" customHeight="1" x14ac:dyDescent="0.2">
      <c r="A2" s="425"/>
      <c r="B2" s="426" t="s">
        <v>759</v>
      </c>
      <c r="C2" s="427"/>
      <c r="D2" s="428"/>
      <c r="E2" s="428"/>
      <c r="F2" s="428"/>
      <c r="G2" s="428"/>
      <c r="H2" s="428"/>
    </row>
    <row r="3" spans="1:8" ht="20.100000000000001" customHeight="1" x14ac:dyDescent="0.2">
      <c r="A3" s="429" t="s">
        <v>67</v>
      </c>
      <c r="B3" s="430" t="s">
        <v>737</v>
      </c>
      <c r="C3" s="428"/>
      <c r="D3" s="431"/>
      <c r="E3" s="431"/>
      <c r="F3" s="431"/>
      <c r="G3" s="431"/>
      <c r="H3" s="431"/>
    </row>
    <row r="4" spans="1:8" ht="20.100000000000001" customHeight="1" x14ac:dyDescent="0.2">
      <c r="A4" s="429" t="s">
        <v>2</v>
      </c>
      <c r="B4" s="430" t="s">
        <v>703</v>
      </c>
      <c r="C4" s="428"/>
      <c r="D4" s="431"/>
      <c r="E4" s="431"/>
      <c r="F4" s="431"/>
      <c r="G4" s="431"/>
      <c r="H4" s="431"/>
    </row>
    <row r="5" spans="1:8" ht="20.100000000000001" customHeight="1" x14ac:dyDescent="0.2">
      <c r="A5" s="429"/>
      <c r="B5" s="432" t="s">
        <v>706</v>
      </c>
      <c r="C5" s="433">
        <v>55513780</v>
      </c>
      <c r="D5" s="431">
        <v>54375430</v>
      </c>
      <c r="E5" s="431">
        <v>55824154</v>
      </c>
      <c r="F5" s="431">
        <f>E5+133200+540798+4553600</f>
        <v>61051752</v>
      </c>
      <c r="G5" s="431">
        <f>F5+[2]III.módosítás!$AH$13+[2]III.módosítás!$AH$9+[2]III.módosítás!$AH$38+[2]III.módosítás!$AH$42</f>
        <v>56818207</v>
      </c>
      <c r="H5" s="431">
        <v>55675594</v>
      </c>
    </row>
    <row r="6" spans="1:8" ht="20.100000000000001" customHeight="1" x14ac:dyDescent="0.2">
      <c r="A6" s="429"/>
      <c r="B6" s="432" t="s">
        <v>707</v>
      </c>
      <c r="C6" s="433">
        <v>12809692</v>
      </c>
      <c r="D6" s="431">
        <v>11365353</v>
      </c>
      <c r="E6" s="431">
        <v>11634716</v>
      </c>
      <c r="F6" s="431">
        <f>E6+25973+105455+799159</f>
        <v>12565303</v>
      </c>
      <c r="G6" s="431">
        <f>F6+[2]III.módosítás!$AI$9+[2]III.módosítás!$AI$13+[2]III.módosítás!$AI$38+[2]III.módosítás!$AI$42</f>
        <v>11790477</v>
      </c>
      <c r="H6" s="431">
        <v>11217623</v>
      </c>
    </row>
    <row r="7" spans="1:8" ht="20.100000000000001" customHeight="1" x14ac:dyDescent="0.2">
      <c r="A7" s="429"/>
      <c r="B7" s="432" t="s">
        <v>708</v>
      </c>
      <c r="C7" s="433">
        <v>318993811</v>
      </c>
      <c r="D7" s="431">
        <v>343851011</v>
      </c>
      <c r="E7" s="431">
        <v>399666521</v>
      </c>
      <c r="F7" s="431">
        <f>E7-58266-147440-176600-76596-200000-56999+80899-146050+4290060+1587500+7196700</f>
        <v>411959729</v>
      </c>
      <c r="G7" s="431">
        <v>396351629</v>
      </c>
      <c r="H7" s="431">
        <v>339155968</v>
      </c>
    </row>
    <row r="8" spans="1:8" ht="20.100000000000001" customHeight="1" x14ac:dyDescent="0.2">
      <c r="A8" s="434"/>
      <c r="B8" s="435" t="s">
        <v>704</v>
      </c>
      <c r="C8" s="436">
        <f>SUM(C5:C7)</f>
        <v>387317283</v>
      </c>
      <c r="D8" s="436">
        <f>SUM(D5:D7)</f>
        <v>409591794</v>
      </c>
      <c r="E8" s="436">
        <f>SUM(E5:E7)</f>
        <v>467125391</v>
      </c>
      <c r="F8" s="436">
        <f t="shared" ref="F8:H8" si="0">SUM(F5:F7)</f>
        <v>485576784</v>
      </c>
      <c r="G8" s="436">
        <f t="shared" ref="G8" si="1">SUM(G5:G7)</f>
        <v>464960313</v>
      </c>
      <c r="H8" s="436">
        <f t="shared" si="0"/>
        <v>406049185</v>
      </c>
    </row>
    <row r="9" spans="1:8" ht="20.100000000000001" customHeight="1" x14ac:dyDescent="0.2">
      <c r="A9" s="434" t="s">
        <v>4</v>
      </c>
      <c r="B9" s="435" t="s">
        <v>709</v>
      </c>
      <c r="C9" s="436">
        <v>8500000</v>
      </c>
      <c r="D9" s="436">
        <v>7500000</v>
      </c>
      <c r="E9" s="436">
        <v>7500000</v>
      </c>
      <c r="F9" s="436">
        <f>E9+154000-449580</f>
        <v>7204420</v>
      </c>
      <c r="G9" s="436">
        <f>F9+[2]III.módosítás!$AK$24</f>
        <v>7334420</v>
      </c>
      <c r="H9" s="436">
        <v>4727306</v>
      </c>
    </row>
    <row r="10" spans="1:8" ht="20.100000000000001" customHeight="1" x14ac:dyDescent="0.2">
      <c r="A10" s="429" t="s">
        <v>5</v>
      </c>
      <c r="B10" s="430" t="s">
        <v>293</v>
      </c>
      <c r="C10" s="431"/>
      <c r="D10" s="431"/>
      <c r="E10" s="431"/>
      <c r="F10" s="431"/>
      <c r="G10" s="431"/>
      <c r="H10" s="431"/>
    </row>
    <row r="11" spans="1:8" ht="20.100000000000001" customHeight="1" x14ac:dyDescent="0.2">
      <c r="A11" s="429"/>
      <c r="B11" s="437" t="s">
        <v>710</v>
      </c>
      <c r="C11" s="431">
        <v>10998000</v>
      </c>
      <c r="D11" s="431">
        <v>11129408</v>
      </c>
      <c r="E11" s="431">
        <v>11129408</v>
      </c>
      <c r="F11" s="431">
        <f>E11-2782352</f>
        <v>8347056</v>
      </c>
      <c r="G11" s="431">
        <v>8347056</v>
      </c>
      <c r="H11" s="431">
        <f>3429408+4917648</f>
        <v>8347056</v>
      </c>
    </row>
    <row r="12" spans="1:8" ht="20.100000000000001" customHeight="1" x14ac:dyDescent="0.2">
      <c r="A12" s="429"/>
      <c r="B12" s="437" t="s">
        <v>714</v>
      </c>
      <c r="C12" s="431">
        <f>'1.a szm.normatív támogatás '!D47</f>
        <v>15196000</v>
      </c>
      <c r="D12" s="431">
        <f>'1.a szm.normatív támogatás '!G47</f>
        <v>27482000</v>
      </c>
      <c r="E12" s="431">
        <v>27482000</v>
      </c>
      <c r="F12" s="431">
        <v>27482000</v>
      </c>
      <c r="G12" s="431">
        <f>F12+594000</f>
        <v>28076000</v>
      </c>
      <c r="H12" s="431">
        <v>28076000</v>
      </c>
    </row>
    <row r="13" spans="1:8" ht="20.100000000000001" customHeight="1" x14ac:dyDescent="0.2">
      <c r="A13" s="429"/>
      <c r="B13" s="437" t="s">
        <v>711</v>
      </c>
      <c r="C13" s="431">
        <v>450000</v>
      </c>
      <c r="D13" s="431">
        <v>300000</v>
      </c>
      <c r="E13" s="431">
        <v>300000</v>
      </c>
      <c r="F13" s="431">
        <v>300000</v>
      </c>
      <c r="G13" s="431">
        <v>300000</v>
      </c>
      <c r="H13" s="431">
        <v>300000</v>
      </c>
    </row>
    <row r="14" spans="1:8" ht="20.100000000000001" customHeight="1" x14ac:dyDescent="0.2">
      <c r="A14" s="429"/>
      <c r="B14" s="438" t="s">
        <v>712</v>
      </c>
      <c r="C14" s="431">
        <v>150000</v>
      </c>
      <c r="D14" s="431">
        <v>150000</v>
      </c>
      <c r="E14" s="431">
        <v>150000</v>
      </c>
      <c r="F14" s="431">
        <v>150000</v>
      </c>
      <c r="G14" s="431">
        <v>150000</v>
      </c>
      <c r="H14" s="431"/>
    </row>
    <row r="15" spans="1:8" ht="20.100000000000001" customHeight="1" x14ac:dyDescent="0.2">
      <c r="A15" s="429"/>
      <c r="B15" s="439" t="s">
        <v>713</v>
      </c>
      <c r="C15" s="431"/>
      <c r="D15" s="431">
        <v>12255000</v>
      </c>
      <c r="E15" s="431">
        <v>12255000</v>
      </c>
      <c r="F15" s="431">
        <v>12255000</v>
      </c>
      <c r="G15" s="431">
        <f>F15+[2]III.módosítás!$AM$29</f>
        <v>15811715</v>
      </c>
      <c r="H15" s="431">
        <v>15811715</v>
      </c>
    </row>
    <row r="16" spans="1:8" ht="20.100000000000001" customHeight="1" x14ac:dyDescent="0.2">
      <c r="A16" s="429"/>
      <c r="B16" s="439" t="s">
        <v>715</v>
      </c>
      <c r="C16" s="431"/>
      <c r="D16" s="431"/>
      <c r="E16" s="431">
        <v>1426639</v>
      </c>
      <c r="F16" s="431">
        <f>E16+1048880</f>
        <v>2475519</v>
      </c>
      <c r="G16" s="431">
        <f>F16+[2]III.módosítás!$AM$15</f>
        <v>3288725</v>
      </c>
      <c r="H16" s="431">
        <v>3288725</v>
      </c>
    </row>
    <row r="17" spans="1:8" ht="20.100000000000001" customHeight="1" x14ac:dyDescent="0.2">
      <c r="A17" s="429"/>
      <c r="B17" s="439" t="s">
        <v>716</v>
      </c>
      <c r="C17" s="431"/>
      <c r="D17" s="431"/>
      <c r="E17" s="431">
        <v>668217</v>
      </c>
      <c r="F17" s="431">
        <f>E17+448370</f>
        <v>1116587</v>
      </c>
      <c r="G17" s="431">
        <f>F17+[2]III.módosítás!$AM$12</f>
        <v>1384918</v>
      </c>
      <c r="H17" s="431">
        <f>1261332+123586</f>
        <v>1384918</v>
      </c>
    </row>
    <row r="18" spans="1:8" ht="20.100000000000001" customHeight="1" x14ac:dyDescent="0.2">
      <c r="A18" s="429"/>
      <c r="B18" s="439" t="s">
        <v>717</v>
      </c>
      <c r="C18" s="431"/>
      <c r="D18" s="431"/>
      <c r="E18" s="431">
        <v>3047000</v>
      </c>
      <c r="F18" s="431">
        <v>3047000</v>
      </c>
      <c r="G18" s="431">
        <v>3047000</v>
      </c>
      <c r="H18" s="431">
        <v>3047000</v>
      </c>
    </row>
    <row r="19" spans="1:8" ht="20.100000000000001" customHeight="1" x14ac:dyDescent="0.2">
      <c r="A19" s="440"/>
      <c r="B19" s="435" t="s">
        <v>292</v>
      </c>
      <c r="C19" s="441">
        <f>SUM(C11:C14)</f>
        <v>26794000</v>
      </c>
      <c r="D19" s="441">
        <f>SUM(D11:D15)</f>
        <v>51316408</v>
      </c>
      <c r="E19" s="441">
        <f>SUM(E11:E18)</f>
        <v>56458264</v>
      </c>
      <c r="F19" s="441">
        <f t="shared" ref="F19:H19" si="2">SUM(F11:F18)</f>
        <v>55173162</v>
      </c>
      <c r="G19" s="441">
        <f t="shared" ref="G19" si="3">SUM(G11:G18)</f>
        <v>60405414</v>
      </c>
      <c r="H19" s="441">
        <f t="shared" si="2"/>
        <v>60255414</v>
      </c>
    </row>
    <row r="20" spans="1:8" ht="20.100000000000001" customHeight="1" x14ac:dyDescent="0.2">
      <c r="A20" s="442" t="s">
        <v>6</v>
      </c>
      <c r="B20" s="443" t="s">
        <v>735</v>
      </c>
      <c r="C20" s="444"/>
      <c r="D20" s="431"/>
      <c r="E20" s="431"/>
      <c r="F20" s="431"/>
      <c r="G20" s="431"/>
      <c r="H20" s="431"/>
    </row>
    <row r="21" spans="1:8" ht="20.100000000000001" customHeight="1" x14ac:dyDescent="0.2">
      <c r="A21" s="445"/>
      <c r="B21" s="432" t="s">
        <v>718</v>
      </c>
      <c r="C21" s="431">
        <v>26000000</v>
      </c>
      <c r="D21" s="446">
        <v>21500000</v>
      </c>
      <c r="E21" s="446">
        <v>21500000</v>
      </c>
      <c r="F21" s="446">
        <v>21500000</v>
      </c>
      <c r="G21" s="446">
        <v>21500000</v>
      </c>
      <c r="H21" s="446">
        <v>21500000</v>
      </c>
    </row>
    <row r="22" spans="1:8" ht="20.100000000000001" customHeight="1" x14ac:dyDescent="0.2">
      <c r="A22" s="445"/>
      <c r="B22" s="432" t="s">
        <v>719</v>
      </c>
      <c r="C22" s="431">
        <v>34000000</v>
      </c>
      <c r="D22" s="446">
        <v>51000000</v>
      </c>
      <c r="E22" s="446">
        <v>51000000</v>
      </c>
      <c r="F22" s="446">
        <v>51000000</v>
      </c>
      <c r="G22" s="446">
        <v>51000000</v>
      </c>
      <c r="H22" s="446">
        <v>51000000</v>
      </c>
    </row>
    <row r="23" spans="1:8" ht="20.100000000000001" customHeight="1" x14ac:dyDescent="0.2">
      <c r="A23" s="445"/>
      <c r="B23" s="432" t="s">
        <v>720</v>
      </c>
      <c r="C23" s="431"/>
      <c r="D23" s="431">
        <v>3000000</v>
      </c>
      <c r="E23" s="431">
        <v>3000000</v>
      </c>
      <c r="F23" s="431">
        <v>3000000</v>
      </c>
      <c r="G23" s="431">
        <v>3000000</v>
      </c>
      <c r="H23" s="431"/>
    </row>
    <row r="24" spans="1:8" ht="20.100000000000001" customHeight="1" x14ac:dyDescent="0.2">
      <c r="A24" s="445"/>
      <c r="B24" s="432" t="s">
        <v>721</v>
      </c>
      <c r="C24" s="431"/>
      <c r="D24" s="431">
        <v>2500000</v>
      </c>
      <c r="E24" s="431">
        <v>366100</v>
      </c>
      <c r="F24" s="431">
        <v>366100</v>
      </c>
      <c r="G24" s="431">
        <f>F24+[2]III.módosítás!$AN$47</f>
        <v>0</v>
      </c>
      <c r="H24" s="431"/>
    </row>
    <row r="25" spans="1:8" ht="20.100000000000001" customHeight="1" x14ac:dyDescent="0.2">
      <c r="A25" s="445"/>
      <c r="B25" s="432" t="s">
        <v>722</v>
      </c>
      <c r="C25" s="431"/>
      <c r="D25" s="431"/>
      <c r="E25" s="431">
        <v>4819000</v>
      </c>
      <c r="F25" s="431">
        <v>4819000</v>
      </c>
      <c r="G25" s="431">
        <f>F25+[2]III.módosítás!$AN$34</f>
        <v>6035000</v>
      </c>
      <c r="H25" s="431">
        <v>6035000</v>
      </c>
    </row>
    <row r="26" spans="1:8" ht="20.100000000000001" customHeight="1" x14ac:dyDescent="0.2">
      <c r="A26" s="445"/>
      <c r="B26" s="432" t="s">
        <v>723</v>
      </c>
      <c r="C26" s="431"/>
      <c r="D26" s="431"/>
      <c r="E26" s="431">
        <v>2500000</v>
      </c>
      <c r="F26" s="431">
        <v>2500000</v>
      </c>
      <c r="G26" s="431">
        <v>2500000</v>
      </c>
      <c r="H26" s="431">
        <v>2500000</v>
      </c>
    </row>
    <row r="27" spans="1:8" ht="20.100000000000001" customHeight="1" x14ac:dyDescent="0.2">
      <c r="A27" s="445"/>
      <c r="B27" s="432" t="s">
        <v>724</v>
      </c>
      <c r="C27" s="431"/>
      <c r="D27" s="431"/>
      <c r="E27" s="431">
        <v>5921807</v>
      </c>
      <c r="F27" s="431">
        <v>5921807</v>
      </c>
      <c r="G27" s="431">
        <v>5921807</v>
      </c>
      <c r="H27" s="431">
        <v>5921807</v>
      </c>
    </row>
    <row r="28" spans="1:8" ht="20.100000000000001" customHeight="1" x14ac:dyDescent="0.2">
      <c r="A28" s="445"/>
      <c r="B28" s="432" t="s">
        <v>725</v>
      </c>
      <c r="C28" s="431"/>
      <c r="D28" s="431"/>
      <c r="E28" s="431">
        <v>300000</v>
      </c>
      <c r="F28" s="431">
        <v>300000</v>
      </c>
      <c r="G28" s="431">
        <v>300000</v>
      </c>
      <c r="H28" s="431">
        <v>300000</v>
      </c>
    </row>
    <row r="29" spans="1:8" ht="20.100000000000001" customHeight="1" x14ac:dyDescent="0.2">
      <c r="A29" s="445"/>
      <c r="B29" s="447" t="s">
        <v>726</v>
      </c>
      <c r="C29" s="431"/>
      <c r="D29" s="431"/>
      <c r="E29" s="431">
        <v>1800000</v>
      </c>
      <c r="F29" s="431">
        <v>1800000</v>
      </c>
      <c r="G29" s="431">
        <v>1800000</v>
      </c>
      <c r="H29" s="431">
        <v>1800000</v>
      </c>
    </row>
    <row r="30" spans="1:8" ht="20.100000000000001" customHeight="1" x14ac:dyDescent="0.2">
      <c r="A30" s="445"/>
      <c r="B30" s="432" t="s">
        <v>727</v>
      </c>
      <c r="C30" s="431"/>
      <c r="D30" s="431"/>
      <c r="E30" s="431">
        <v>3116000</v>
      </c>
      <c r="F30" s="431">
        <v>3116000</v>
      </c>
      <c r="G30" s="431">
        <v>3116000</v>
      </c>
      <c r="H30" s="431">
        <v>3116000</v>
      </c>
    </row>
    <row r="31" spans="1:8" ht="20.100000000000001" customHeight="1" x14ac:dyDescent="0.2">
      <c r="A31" s="445"/>
      <c r="B31" s="432" t="s">
        <v>728</v>
      </c>
      <c r="C31" s="431"/>
      <c r="D31" s="431"/>
      <c r="E31" s="431">
        <v>500000</v>
      </c>
      <c r="F31" s="431">
        <v>500000</v>
      </c>
      <c r="G31" s="431">
        <v>500000</v>
      </c>
      <c r="H31" s="431">
        <v>500000</v>
      </c>
    </row>
    <row r="32" spans="1:8" ht="20.100000000000001" customHeight="1" x14ac:dyDescent="0.2">
      <c r="A32" s="445"/>
      <c r="B32" s="432" t="s">
        <v>729</v>
      </c>
      <c r="C32" s="431"/>
      <c r="D32" s="431"/>
      <c r="E32" s="431">
        <v>300000</v>
      </c>
      <c r="F32" s="431">
        <v>300000</v>
      </c>
      <c r="G32" s="431">
        <v>300000</v>
      </c>
      <c r="H32" s="431">
        <v>300000</v>
      </c>
    </row>
    <row r="33" spans="1:8" ht="20.100000000000001" customHeight="1" x14ac:dyDescent="0.2">
      <c r="A33" s="445"/>
      <c r="B33" s="448" t="s">
        <v>730</v>
      </c>
      <c r="C33" s="431"/>
      <c r="D33" s="431"/>
      <c r="E33" s="431">
        <v>150000</v>
      </c>
      <c r="F33" s="431">
        <v>150000</v>
      </c>
      <c r="G33" s="431">
        <v>150000</v>
      </c>
      <c r="H33" s="431">
        <v>150000</v>
      </c>
    </row>
    <row r="34" spans="1:8" ht="20.100000000000001" customHeight="1" x14ac:dyDescent="0.2">
      <c r="A34" s="445"/>
      <c r="B34" s="432" t="s">
        <v>731</v>
      </c>
      <c r="C34" s="431"/>
      <c r="D34" s="431"/>
      <c r="E34" s="431">
        <v>400000</v>
      </c>
      <c r="F34" s="431">
        <v>400000</v>
      </c>
      <c r="G34" s="431">
        <v>400000</v>
      </c>
      <c r="H34" s="431">
        <v>400000</v>
      </c>
    </row>
    <row r="35" spans="1:8" ht="20.100000000000001" customHeight="1" x14ac:dyDescent="0.2">
      <c r="A35" s="445"/>
      <c r="B35" s="448" t="s">
        <v>732</v>
      </c>
      <c r="C35" s="431"/>
      <c r="D35" s="431"/>
      <c r="E35" s="431">
        <v>200000</v>
      </c>
      <c r="F35" s="431">
        <v>200000</v>
      </c>
      <c r="G35" s="431">
        <v>200000</v>
      </c>
      <c r="H35" s="431">
        <v>200000</v>
      </c>
    </row>
    <row r="36" spans="1:8" ht="20.100000000000001" customHeight="1" x14ac:dyDescent="0.2">
      <c r="A36" s="445"/>
      <c r="B36" s="432" t="s">
        <v>733</v>
      </c>
      <c r="C36" s="431"/>
      <c r="D36" s="431"/>
      <c r="E36" s="431">
        <v>200000</v>
      </c>
      <c r="F36" s="431">
        <v>200000</v>
      </c>
      <c r="G36" s="431">
        <v>200000</v>
      </c>
      <c r="H36" s="431">
        <v>200000</v>
      </c>
    </row>
    <row r="37" spans="1:8" ht="20.100000000000001" customHeight="1" x14ac:dyDescent="0.2">
      <c r="A37" s="445"/>
      <c r="B37" s="432" t="s">
        <v>800</v>
      </c>
      <c r="C37" s="431"/>
      <c r="D37" s="431"/>
      <c r="E37" s="431"/>
      <c r="F37" s="431">
        <v>200000</v>
      </c>
      <c r="G37" s="431">
        <v>200000</v>
      </c>
      <c r="H37" s="431">
        <v>200000</v>
      </c>
    </row>
    <row r="38" spans="1:8" ht="20.100000000000001" customHeight="1" x14ac:dyDescent="0.2">
      <c r="A38" s="445"/>
      <c r="B38" s="432" t="s">
        <v>838</v>
      </c>
      <c r="C38" s="431"/>
      <c r="D38" s="431"/>
      <c r="E38" s="431"/>
      <c r="F38" s="431"/>
      <c r="G38" s="431">
        <v>2075000</v>
      </c>
      <c r="H38" s="431">
        <v>2075000</v>
      </c>
    </row>
    <row r="39" spans="1:8" ht="20.100000000000001" customHeight="1" x14ac:dyDescent="0.2">
      <c r="A39" s="449"/>
      <c r="B39" s="450" t="s">
        <v>734</v>
      </c>
      <c r="C39" s="441">
        <f t="shared" ref="C39:H39" si="4">SUM(C21:C38)</f>
        <v>60000000</v>
      </c>
      <c r="D39" s="441">
        <f t="shared" si="4"/>
        <v>78000000</v>
      </c>
      <c r="E39" s="441">
        <f t="shared" si="4"/>
        <v>96072907</v>
      </c>
      <c r="F39" s="441">
        <f t="shared" si="4"/>
        <v>96272907</v>
      </c>
      <c r="G39" s="441">
        <f t="shared" si="4"/>
        <v>99197807</v>
      </c>
      <c r="H39" s="441">
        <f t="shared" si="4"/>
        <v>96197807</v>
      </c>
    </row>
    <row r="40" spans="1:8" ht="20.100000000000001" customHeight="1" x14ac:dyDescent="0.2">
      <c r="A40" s="451" t="s">
        <v>8</v>
      </c>
      <c r="B40" s="430" t="s">
        <v>247</v>
      </c>
      <c r="C40" s="444"/>
      <c r="D40" s="444"/>
      <c r="E40" s="444"/>
      <c r="F40" s="444"/>
      <c r="G40" s="444"/>
      <c r="H40" s="444"/>
    </row>
    <row r="41" spans="1:8" ht="20.100000000000001" customHeight="1" x14ac:dyDescent="0.2">
      <c r="A41" s="449"/>
      <c r="B41" s="432" t="s">
        <v>738</v>
      </c>
      <c r="C41" s="452">
        <v>1000000</v>
      </c>
      <c r="D41" s="452">
        <v>1000000</v>
      </c>
      <c r="E41" s="452">
        <v>1000000</v>
      </c>
      <c r="F41" s="452">
        <v>1000000</v>
      </c>
      <c r="G41" s="452">
        <v>1000000</v>
      </c>
      <c r="H41" s="452">
        <v>342000</v>
      </c>
    </row>
    <row r="42" spans="1:8" ht="20.100000000000001" customHeight="1" x14ac:dyDescent="0.2">
      <c r="A42" s="449"/>
      <c r="B42" s="435" t="s">
        <v>736</v>
      </c>
      <c r="C42" s="441">
        <f t="shared" ref="C42:D42" si="5">SUM(C41:C41)</f>
        <v>1000000</v>
      </c>
      <c r="D42" s="441">
        <f t="shared" si="5"/>
        <v>1000000</v>
      </c>
      <c r="E42" s="441">
        <f t="shared" ref="E42:H42" si="6">SUM(E41:E41)</f>
        <v>1000000</v>
      </c>
      <c r="F42" s="441">
        <f t="shared" si="6"/>
        <v>1000000</v>
      </c>
      <c r="G42" s="441">
        <f t="shared" ref="G42" si="7">SUM(G41:G41)</f>
        <v>1000000</v>
      </c>
      <c r="H42" s="441">
        <f t="shared" si="6"/>
        <v>342000</v>
      </c>
    </row>
    <row r="43" spans="1:8" ht="20.100000000000001" customHeight="1" x14ac:dyDescent="0.2">
      <c r="A43" s="451" t="s">
        <v>21</v>
      </c>
      <c r="B43" s="435" t="s">
        <v>261</v>
      </c>
      <c r="C43" s="441"/>
      <c r="D43" s="441"/>
      <c r="E43" s="441"/>
      <c r="F43" s="441"/>
      <c r="G43" s="441"/>
      <c r="H43" s="441"/>
    </row>
    <row r="44" spans="1:8" ht="20.100000000000001" customHeight="1" x14ac:dyDescent="0.2">
      <c r="A44" s="451" t="s">
        <v>17</v>
      </c>
      <c r="B44" s="435" t="s">
        <v>495</v>
      </c>
      <c r="C44" s="441">
        <v>204110000</v>
      </c>
      <c r="D44" s="441">
        <f>'[3]7.számú melléklet '!D36</f>
        <v>255712508</v>
      </c>
      <c r="E44" s="441">
        <v>198860920</v>
      </c>
      <c r="F44" s="441">
        <f>'[3]7.számú melléklet '!F36</f>
        <v>175524789</v>
      </c>
      <c r="G44" s="441">
        <f>'[3]7.számú melléklet '!G36</f>
        <v>538653284</v>
      </c>
      <c r="H44" s="441"/>
    </row>
    <row r="45" spans="1:8" ht="20.100000000000001" customHeight="1" x14ac:dyDescent="0.2">
      <c r="A45" s="449"/>
      <c r="B45" s="453" t="s">
        <v>739</v>
      </c>
      <c r="C45" s="454">
        <f>C8+C9+C19+C39+C42+C44</f>
        <v>687721283</v>
      </c>
      <c r="D45" s="454">
        <f>D8+D9+D19+D39+D42+D44</f>
        <v>803120710</v>
      </c>
      <c r="E45" s="454">
        <f>E8+E9+E19+E39+E42+E44</f>
        <v>827017482</v>
      </c>
      <c r="F45" s="454">
        <f>F8+F9+F19+F39+F42+F44</f>
        <v>820752062</v>
      </c>
      <c r="G45" s="454">
        <f t="shared" ref="G45" si="8">G8+G9+G19+G39+G42+G44</f>
        <v>1171551238</v>
      </c>
      <c r="H45" s="454">
        <f>H8+H9+H19+H39+H42+H44</f>
        <v>567571712</v>
      </c>
    </row>
    <row r="46" spans="1:8" ht="24.95" customHeight="1" x14ac:dyDescent="0.2">
      <c r="A46" s="451" t="s">
        <v>68</v>
      </c>
      <c r="B46" s="430" t="s">
        <v>329</v>
      </c>
      <c r="C46" s="444"/>
      <c r="D46" s="444"/>
      <c r="E46" s="444"/>
      <c r="F46" s="444"/>
      <c r="G46" s="444"/>
      <c r="H46" s="444"/>
    </row>
    <row r="47" spans="1:8" ht="24.95" customHeight="1" x14ac:dyDescent="0.2">
      <c r="A47" s="429" t="s">
        <v>2</v>
      </c>
      <c r="B47" s="430" t="s">
        <v>703</v>
      </c>
      <c r="C47" s="428"/>
      <c r="D47" s="431"/>
      <c r="E47" s="431"/>
      <c r="F47" s="431"/>
      <c r="G47" s="431"/>
      <c r="H47" s="431"/>
    </row>
    <row r="48" spans="1:8" ht="24.95" customHeight="1" x14ac:dyDescent="0.2">
      <c r="A48" s="429"/>
      <c r="B48" s="432" t="s">
        <v>706</v>
      </c>
      <c r="C48" s="433">
        <v>81830500</v>
      </c>
      <c r="D48" s="431">
        <v>90470600</v>
      </c>
      <c r="E48" s="431">
        <f>D48+56151+167107+1134690</f>
        <v>91828548</v>
      </c>
      <c r="F48" s="431">
        <f>91828548+114803-600000-139341</f>
        <v>91204010</v>
      </c>
      <c r="G48" s="431">
        <f>91204010+[2]III.módosítás!$AH$10+[2]III.módosítás!$AH$35+[2]III.módosítás!$AH$39+[2]III.módosítás!$AH$56</f>
        <v>96082973</v>
      </c>
      <c r="H48" s="431">
        <v>95296195</v>
      </c>
    </row>
    <row r="49" spans="1:8" ht="24.95" customHeight="1" x14ac:dyDescent="0.2">
      <c r="A49" s="429"/>
      <c r="B49" s="432" t="s">
        <v>707</v>
      </c>
      <c r="C49" s="433">
        <v>19185116</v>
      </c>
      <c r="D49" s="431">
        <v>17998744</v>
      </c>
      <c r="E49" s="431">
        <f>D49+10949+32586+221804</f>
        <v>18264083</v>
      </c>
      <c r="F49" s="431">
        <f>E49+22387+139341</f>
        <v>18425811</v>
      </c>
      <c r="G49" s="431">
        <f>18425811+[2]III.módosítás!$AI$10+[2]III.módosítás!$AI$39+[2]III.módosítás!$AI$56</f>
        <v>19095997</v>
      </c>
      <c r="H49" s="431">
        <v>18928630</v>
      </c>
    </row>
    <row r="50" spans="1:8" ht="24.95" customHeight="1" x14ac:dyDescent="0.2">
      <c r="A50" s="429"/>
      <c r="B50" s="432" t="s">
        <v>708</v>
      </c>
      <c r="C50" s="433">
        <v>21131000</v>
      </c>
      <c r="D50" s="431">
        <v>17853000</v>
      </c>
      <c r="E50" s="431">
        <f>D50+95165</f>
        <v>17948165</v>
      </c>
      <c r="F50" s="431">
        <f>E50-341565</f>
        <v>17606600</v>
      </c>
      <c r="G50" s="431">
        <f>17606600+[2]III.módosítás!$AJ$56</f>
        <v>18724028</v>
      </c>
      <c r="H50" s="431">
        <v>17863243</v>
      </c>
    </row>
    <row r="51" spans="1:8" ht="24.95" customHeight="1" x14ac:dyDescent="0.2">
      <c r="A51" s="434"/>
      <c r="B51" s="435" t="s">
        <v>704</v>
      </c>
      <c r="C51" s="436">
        <f>SUM(C48:C50)</f>
        <v>122146616</v>
      </c>
      <c r="D51" s="436">
        <f>SUM(D48:D50)</f>
        <v>126322344</v>
      </c>
      <c r="E51" s="436">
        <f>SUM(E48:E50)</f>
        <v>128040796</v>
      </c>
      <c r="F51" s="436">
        <f t="shared" ref="F51:H51" si="9">SUM(F48:F50)</f>
        <v>127236421</v>
      </c>
      <c r="G51" s="436">
        <f t="shared" ref="G51" si="10">SUM(G48:G50)</f>
        <v>133902998</v>
      </c>
      <c r="H51" s="436">
        <f t="shared" si="9"/>
        <v>132088068</v>
      </c>
    </row>
    <row r="52" spans="1:8" ht="24.95" customHeight="1" x14ac:dyDescent="0.2">
      <c r="A52" s="451" t="s">
        <v>4</v>
      </c>
      <c r="B52" s="430" t="s">
        <v>293</v>
      </c>
      <c r="C52" s="430"/>
      <c r="D52" s="430"/>
      <c r="E52" s="430"/>
      <c r="F52" s="430"/>
      <c r="G52" s="430"/>
      <c r="H52" s="430"/>
    </row>
    <row r="53" spans="1:8" ht="24.95" customHeight="1" x14ac:dyDescent="0.2">
      <c r="A53" s="451"/>
      <c r="B53" s="455" t="s">
        <v>740</v>
      </c>
      <c r="C53" s="456">
        <v>1200000</v>
      </c>
      <c r="D53" s="456">
        <v>1200000</v>
      </c>
      <c r="E53" s="456">
        <v>1200000</v>
      </c>
      <c r="F53" s="456">
        <v>1200000</v>
      </c>
      <c r="G53" s="456">
        <f>F53</f>
        <v>1200000</v>
      </c>
      <c r="H53" s="456">
        <v>1200000</v>
      </c>
    </row>
    <row r="54" spans="1:8" ht="24.95" customHeight="1" x14ac:dyDescent="0.2">
      <c r="A54" s="451"/>
      <c r="B54" s="435" t="s">
        <v>741</v>
      </c>
      <c r="C54" s="457">
        <f>C53</f>
        <v>1200000</v>
      </c>
      <c r="D54" s="457">
        <f>D53</f>
        <v>1200000</v>
      </c>
      <c r="E54" s="457">
        <f>E53</f>
        <v>1200000</v>
      </c>
      <c r="F54" s="457">
        <f t="shared" ref="F54:H54" si="11">F53</f>
        <v>1200000</v>
      </c>
      <c r="G54" s="457">
        <f t="shared" ref="G54" si="12">G53</f>
        <v>1200000</v>
      </c>
      <c r="H54" s="457">
        <f t="shared" si="11"/>
        <v>1200000</v>
      </c>
    </row>
    <row r="55" spans="1:8" ht="24.95" customHeight="1" x14ac:dyDescent="0.2">
      <c r="A55" s="451" t="s">
        <v>5</v>
      </c>
      <c r="B55" s="443" t="s">
        <v>735</v>
      </c>
      <c r="C55" s="456"/>
      <c r="D55" s="456"/>
      <c r="E55" s="456"/>
      <c r="F55" s="456"/>
      <c r="G55" s="456"/>
      <c r="H55" s="456"/>
    </row>
    <row r="56" spans="1:8" ht="24.95" customHeight="1" x14ac:dyDescent="0.2">
      <c r="A56" s="451"/>
      <c r="B56" s="455" t="s">
        <v>743</v>
      </c>
      <c r="C56" s="456"/>
      <c r="D56" s="456"/>
      <c r="E56" s="456">
        <v>10429</v>
      </c>
      <c r="F56" s="456">
        <v>10429</v>
      </c>
      <c r="G56" s="456">
        <f>F56</f>
        <v>10429</v>
      </c>
      <c r="H56" s="456">
        <v>10429</v>
      </c>
    </row>
    <row r="57" spans="1:8" ht="20.100000000000001" customHeight="1" x14ac:dyDescent="0.2">
      <c r="A57" s="458"/>
      <c r="B57" s="450" t="s">
        <v>742</v>
      </c>
      <c r="C57" s="441">
        <f>C56</f>
        <v>0</v>
      </c>
      <c r="D57" s="441">
        <f>D56</f>
        <v>0</v>
      </c>
      <c r="E57" s="441">
        <f>E56</f>
        <v>10429</v>
      </c>
      <c r="F57" s="441">
        <f t="shared" ref="F57:H57" si="13">F56</f>
        <v>10429</v>
      </c>
      <c r="G57" s="441">
        <f t="shared" ref="G57" si="14">G56</f>
        <v>10429</v>
      </c>
      <c r="H57" s="441">
        <f t="shared" si="13"/>
        <v>10429</v>
      </c>
    </row>
    <row r="58" spans="1:8" ht="20.100000000000001" customHeight="1" x14ac:dyDescent="0.2">
      <c r="A58" s="449" t="s">
        <v>6</v>
      </c>
      <c r="B58" s="435" t="s">
        <v>261</v>
      </c>
      <c r="C58" s="459"/>
      <c r="D58" s="459"/>
      <c r="E58" s="441">
        <v>5918207</v>
      </c>
      <c r="F58" s="441">
        <v>5918207</v>
      </c>
      <c r="G58" s="441">
        <f>F58</f>
        <v>5918207</v>
      </c>
      <c r="H58" s="441">
        <v>5918207</v>
      </c>
    </row>
    <row r="59" spans="1:8" ht="24.95" customHeight="1" x14ac:dyDescent="0.2">
      <c r="A59" s="449"/>
      <c r="B59" s="453" t="s">
        <v>745</v>
      </c>
      <c r="C59" s="454">
        <f>C51+C54+C57+C58</f>
        <v>123346616</v>
      </c>
      <c r="D59" s="454">
        <f>D51+D54+D57+D58</f>
        <v>127522344</v>
      </c>
      <c r="E59" s="454">
        <f>E51+E54+E57+E58</f>
        <v>135169432</v>
      </c>
      <c r="F59" s="454">
        <f t="shared" ref="F59:H59" si="15">F51+F54+F57+F58</f>
        <v>134365057</v>
      </c>
      <c r="G59" s="454">
        <f t="shared" ref="G59" si="16">G51+G54+G57+G58</f>
        <v>141031634</v>
      </c>
      <c r="H59" s="454">
        <f t="shared" si="15"/>
        <v>139216704</v>
      </c>
    </row>
    <row r="60" spans="1:8" ht="24.95" customHeight="1" x14ac:dyDescent="0.2">
      <c r="A60" s="451" t="s">
        <v>69</v>
      </c>
      <c r="B60" s="460" t="s">
        <v>317</v>
      </c>
      <c r="C60" s="444"/>
      <c r="D60" s="444"/>
      <c r="E60" s="444"/>
      <c r="F60" s="444"/>
      <c r="G60" s="444"/>
      <c r="H60" s="444"/>
    </row>
    <row r="61" spans="1:8" ht="24.95" customHeight="1" x14ac:dyDescent="0.2">
      <c r="A61" s="451" t="s">
        <v>2</v>
      </c>
      <c r="B61" s="430" t="s">
        <v>703</v>
      </c>
      <c r="C61" s="428"/>
      <c r="D61" s="431"/>
      <c r="E61" s="431"/>
      <c r="F61" s="431"/>
      <c r="G61" s="431"/>
      <c r="H61" s="431"/>
    </row>
    <row r="62" spans="1:8" ht="24.95" customHeight="1" x14ac:dyDescent="0.2">
      <c r="A62" s="451"/>
      <c r="B62" s="432" t="s">
        <v>706</v>
      </c>
      <c r="C62" s="433">
        <v>75431935</v>
      </c>
      <c r="D62" s="431">
        <v>81653112</v>
      </c>
      <c r="E62" s="431">
        <f>D62+48596+169688+140683</f>
        <v>82012079</v>
      </c>
      <c r="F62" s="431">
        <f>E62+143200+115305</f>
        <v>82270584</v>
      </c>
      <c r="G62" s="431">
        <v>84449142</v>
      </c>
      <c r="H62" s="431">
        <v>84249792</v>
      </c>
    </row>
    <row r="63" spans="1:8" ht="24.95" customHeight="1" x14ac:dyDescent="0.2">
      <c r="A63" s="451"/>
      <c r="B63" s="432" t="s">
        <v>707</v>
      </c>
      <c r="C63" s="433">
        <v>18666768</v>
      </c>
      <c r="D63" s="431">
        <v>18259523</v>
      </c>
      <c r="E63" s="431">
        <f>D63+9476+33089+27433</f>
        <v>18329521</v>
      </c>
      <c r="F63" s="431">
        <f>E63+27924+22485</f>
        <v>18379930</v>
      </c>
      <c r="G63" s="431">
        <f>F63+[2]III.módosítás!$AI$11+[2]III.módosítás!$AI$14+[2]III.módosítás!$AI$17+[2]III.módosítás!$AI$19+[2]III.módosítás!$AI$40+[2]III.módosítás!$AI$43+[2]III.módosítás!$AI$60</f>
        <v>18539777</v>
      </c>
      <c r="H63" s="431">
        <v>17879660</v>
      </c>
    </row>
    <row r="64" spans="1:8" ht="24.95" customHeight="1" x14ac:dyDescent="0.2">
      <c r="A64" s="451"/>
      <c r="B64" s="432" t="s">
        <v>708</v>
      </c>
      <c r="C64" s="433">
        <v>54236427</v>
      </c>
      <c r="D64" s="431">
        <v>55826365</v>
      </c>
      <c r="E64" s="431">
        <f>D64+0</f>
        <v>55826365</v>
      </c>
      <c r="F64" s="431">
        <f>E64</f>
        <v>55826365</v>
      </c>
      <c r="G64" s="431">
        <v>59978327</v>
      </c>
      <c r="H64" s="431">
        <v>57736173</v>
      </c>
    </row>
    <row r="65" spans="1:8" ht="24.95" customHeight="1" x14ac:dyDescent="0.2">
      <c r="A65" s="451"/>
      <c r="B65" s="435" t="s">
        <v>704</v>
      </c>
      <c r="C65" s="436">
        <f>SUM(C62:C64)</f>
        <v>148335130</v>
      </c>
      <c r="D65" s="436">
        <f>SUM(D62:D64)</f>
        <v>155739000</v>
      </c>
      <c r="E65" s="436">
        <f>SUM(E62:E64)</f>
        <v>156167965</v>
      </c>
      <c r="F65" s="436">
        <f t="shared" ref="F65:H65" si="17">SUM(F62:F64)</f>
        <v>156476879</v>
      </c>
      <c r="G65" s="436">
        <f t="shared" ref="G65" si="18">SUM(G62:G64)</f>
        <v>162967246</v>
      </c>
      <c r="H65" s="436">
        <f t="shared" si="17"/>
        <v>159865625</v>
      </c>
    </row>
    <row r="66" spans="1:8" ht="24.95" customHeight="1" x14ac:dyDescent="0.2">
      <c r="A66" s="451" t="s">
        <v>4</v>
      </c>
      <c r="B66" s="435" t="s">
        <v>261</v>
      </c>
      <c r="C66" s="436"/>
      <c r="D66" s="436"/>
      <c r="E66" s="436">
        <v>2212562</v>
      </c>
      <c r="F66" s="436">
        <v>2212562</v>
      </c>
      <c r="G66" s="436">
        <v>2212562</v>
      </c>
      <c r="H66" s="436">
        <v>2212562</v>
      </c>
    </row>
    <row r="67" spans="1:8" ht="24.95" customHeight="1" x14ac:dyDescent="0.2">
      <c r="A67" s="449"/>
      <c r="B67" s="453" t="s">
        <v>746</v>
      </c>
      <c r="C67" s="454">
        <f>C65+C66</f>
        <v>148335130</v>
      </c>
      <c r="D67" s="454">
        <f>D65+D66</f>
        <v>155739000</v>
      </c>
      <c r="E67" s="454">
        <f>E65+E66</f>
        <v>158380527</v>
      </c>
      <c r="F67" s="454">
        <f t="shared" ref="F67:H67" si="19">F65+F66</f>
        <v>158689441</v>
      </c>
      <c r="G67" s="454">
        <f t="shared" ref="G67" si="20">G65+G66</f>
        <v>165179808</v>
      </c>
      <c r="H67" s="454">
        <f t="shared" si="19"/>
        <v>162078187</v>
      </c>
    </row>
    <row r="68" spans="1:8" ht="24.95" customHeight="1" x14ac:dyDescent="0.2">
      <c r="A68" s="451" t="s">
        <v>318</v>
      </c>
      <c r="B68" s="460" t="s">
        <v>319</v>
      </c>
      <c r="C68" s="444"/>
      <c r="D68" s="444"/>
      <c r="E68" s="444"/>
      <c r="F68" s="444"/>
      <c r="G68" s="444"/>
      <c r="H68" s="444"/>
    </row>
    <row r="69" spans="1:8" ht="24.95" customHeight="1" x14ac:dyDescent="0.2">
      <c r="A69" s="451" t="s">
        <v>2</v>
      </c>
      <c r="B69" s="430" t="s">
        <v>703</v>
      </c>
      <c r="C69" s="428"/>
      <c r="D69" s="431"/>
      <c r="E69" s="431"/>
      <c r="F69" s="431"/>
      <c r="G69" s="431"/>
      <c r="H69" s="431"/>
    </row>
    <row r="70" spans="1:8" ht="24.95" customHeight="1" x14ac:dyDescent="0.2">
      <c r="A70" s="451"/>
      <c r="B70" s="432" t="s">
        <v>706</v>
      </c>
      <c r="C70" s="433">
        <v>9058706</v>
      </c>
      <c r="D70" s="431">
        <v>11092231</v>
      </c>
      <c r="E70" s="431">
        <f>D70+271000+300409</f>
        <v>11663640</v>
      </c>
      <c r="F70" s="431">
        <f>E70+243276</f>
        <v>11906916</v>
      </c>
      <c r="G70" s="431">
        <f>F70+[2]III.módosítás!$AH$16+[2]III.módosítás!$AH$37+[2]III.módosítás!$AH$41+[2]III.módosítás!$AH$59</f>
        <v>14962841</v>
      </c>
      <c r="H70" s="431">
        <v>14624915</v>
      </c>
    </row>
    <row r="71" spans="1:8" ht="24.95" customHeight="1" x14ac:dyDescent="0.2">
      <c r="A71" s="451"/>
      <c r="B71" s="432" t="s">
        <v>707</v>
      </c>
      <c r="C71" s="433">
        <v>2058470</v>
      </c>
      <c r="D71" s="431">
        <v>2294728</v>
      </c>
      <c r="E71" s="431">
        <v>2406153</v>
      </c>
      <c r="F71" s="431">
        <f>E71+47439</f>
        <v>2453592</v>
      </c>
      <c r="G71" s="431">
        <f>F71+[2]III.módosítás!$AI$16+[2]III.módosítás!$AI$41+[2]III.módosítás!$AI$59</f>
        <v>3091134</v>
      </c>
      <c r="H71" s="431">
        <v>3091134</v>
      </c>
    </row>
    <row r="72" spans="1:8" ht="24.95" customHeight="1" x14ac:dyDescent="0.2">
      <c r="A72" s="451"/>
      <c r="B72" s="432" t="s">
        <v>708</v>
      </c>
      <c r="C72" s="433">
        <v>17419292</v>
      </c>
      <c r="D72" s="431">
        <v>19070093</v>
      </c>
      <c r="E72" s="431">
        <v>22590823</v>
      </c>
      <c r="F72" s="431">
        <f>E72</f>
        <v>22590823</v>
      </c>
      <c r="G72" s="431">
        <v>27012594</v>
      </c>
      <c r="H72" s="431">
        <v>19092638</v>
      </c>
    </row>
    <row r="73" spans="1:8" ht="24.95" customHeight="1" x14ac:dyDescent="0.2">
      <c r="A73" s="451"/>
      <c r="B73" s="435" t="s">
        <v>704</v>
      </c>
      <c r="C73" s="436">
        <f>SUM(C70:C72)</f>
        <v>28536468</v>
      </c>
      <c r="D73" s="436">
        <f>SUM(D70:D72)</f>
        <v>32457052</v>
      </c>
      <c r="E73" s="436">
        <f>SUM(E70:E72)</f>
        <v>36660616</v>
      </c>
      <c r="F73" s="436">
        <f t="shared" ref="F73:H73" si="21">SUM(F70:F72)</f>
        <v>36951331</v>
      </c>
      <c r="G73" s="436">
        <f t="shared" ref="G73" si="22">SUM(G70:G72)</f>
        <v>45066569</v>
      </c>
      <c r="H73" s="436">
        <f t="shared" si="21"/>
        <v>36808687</v>
      </c>
    </row>
    <row r="74" spans="1:8" ht="24.95" customHeight="1" x14ac:dyDescent="0.2">
      <c r="A74" s="451" t="s">
        <v>4</v>
      </c>
      <c r="B74" s="430" t="s">
        <v>844</v>
      </c>
      <c r="C74" s="430"/>
      <c r="D74" s="430"/>
      <c r="E74" s="430"/>
      <c r="F74" s="430"/>
      <c r="G74" s="430"/>
      <c r="H74" s="430"/>
    </row>
    <row r="75" spans="1:8" ht="24.95" customHeight="1" x14ac:dyDescent="0.2">
      <c r="A75" s="451"/>
      <c r="B75" s="455" t="s">
        <v>744</v>
      </c>
      <c r="C75" s="456"/>
      <c r="D75" s="456"/>
      <c r="E75" s="456">
        <v>6270</v>
      </c>
      <c r="F75" s="456">
        <v>6270</v>
      </c>
      <c r="G75" s="456">
        <v>6270</v>
      </c>
      <c r="H75" s="456">
        <v>6270</v>
      </c>
    </row>
    <row r="76" spans="1:8" ht="24.95" customHeight="1" x14ac:dyDescent="0.2">
      <c r="A76" s="451"/>
      <c r="B76" s="455" t="s">
        <v>846</v>
      </c>
      <c r="C76" s="488"/>
      <c r="D76" s="488"/>
      <c r="E76" s="488"/>
      <c r="F76" s="488"/>
      <c r="G76" s="488">
        <v>50000</v>
      </c>
      <c r="H76" s="488">
        <v>50000</v>
      </c>
    </row>
    <row r="77" spans="1:8" ht="24.95" customHeight="1" x14ac:dyDescent="0.2">
      <c r="A77" s="451"/>
      <c r="B77" s="435" t="s">
        <v>845</v>
      </c>
      <c r="C77" s="457">
        <f t="shared" ref="C77:H77" si="23">C75+C76</f>
        <v>0</v>
      </c>
      <c r="D77" s="457">
        <f t="shared" si="23"/>
        <v>0</v>
      </c>
      <c r="E77" s="457">
        <f t="shared" si="23"/>
        <v>6270</v>
      </c>
      <c r="F77" s="457">
        <f t="shared" si="23"/>
        <v>6270</v>
      </c>
      <c r="G77" s="457">
        <f t="shared" si="23"/>
        <v>56270</v>
      </c>
      <c r="H77" s="457">
        <f t="shared" si="23"/>
        <v>56270</v>
      </c>
    </row>
    <row r="78" spans="1:8" ht="24.95" customHeight="1" x14ac:dyDescent="0.2">
      <c r="A78" s="451" t="s">
        <v>5</v>
      </c>
      <c r="B78" s="435" t="s">
        <v>261</v>
      </c>
      <c r="C78" s="436"/>
      <c r="D78" s="436"/>
      <c r="E78" s="436">
        <v>2496860</v>
      </c>
      <c r="F78" s="436">
        <v>2496860</v>
      </c>
      <c r="G78" s="436">
        <v>2496860</v>
      </c>
      <c r="H78" s="436">
        <v>2496860</v>
      </c>
    </row>
    <row r="79" spans="1:8" ht="24.95" customHeight="1" x14ac:dyDescent="0.2">
      <c r="A79" s="449"/>
      <c r="B79" s="453" t="s">
        <v>751</v>
      </c>
      <c r="C79" s="454">
        <f>C73+C77+C78</f>
        <v>28536468</v>
      </c>
      <c r="D79" s="454">
        <f>D73+D77+D78</f>
        <v>32457052</v>
      </c>
      <c r="E79" s="454">
        <f>E73+E77+E78</f>
        <v>39163746</v>
      </c>
      <c r="F79" s="454">
        <f t="shared" ref="F79:H79" si="24">F73+F77+F78</f>
        <v>39454461</v>
      </c>
      <c r="G79" s="454">
        <f t="shared" ref="G79" si="25">G73+G77+G78</f>
        <v>47619699</v>
      </c>
      <c r="H79" s="454">
        <f t="shared" si="24"/>
        <v>39361817</v>
      </c>
    </row>
    <row r="80" spans="1:8" ht="24.95" customHeight="1" x14ac:dyDescent="0.2">
      <c r="A80" s="461"/>
      <c r="B80" s="453" t="s">
        <v>9</v>
      </c>
      <c r="C80" s="454">
        <f>C45+C59+C67+C79</f>
        <v>987939497</v>
      </c>
      <c r="D80" s="454">
        <f>D45+D59+D67+D79</f>
        <v>1118839106</v>
      </c>
      <c r="E80" s="454">
        <f>E45+E59+E67+E79</f>
        <v>1159731187</v>
      </c>
      <c r="F80" s="454">
        <f t="shared" ref="F80:H80" si="26">F45+F59+F67+F79</f>
        <v>1153261021</v>
      </c>
      <c r="G80" s="454">
        <f t="shared" ref="G80" si="27">G45+G59+G67+G79</f>
        <v>1525382379</v>
      </c>
      <c r="H80" s="454">
        <f t="shared" si="26"/>
        <v>908228420</v>
      </c>
    </row>
    <row r="81" spans="1:8" ht="24.95" customHeight="1" x14ac:dyDescent="0.2">
      <c r="A81" s="451" t="s">
        <v>99</v>
      </c>
      <c r="B81" s="426" t="s">
        <v>760</v>
      </c>
      <c r="C81" s="444"/>
      <c r="D81" s="444"/>
      <c r="E81" s="444"/>
      <c r="F81" s="444"/>
      <c r="G81" s="444"/>
      <c r="H81" s="444"/>
    </row>
    <row r="82" spans="1:8" ht="20.100000000000001" customHeight="1" x14ac:dyDescent="0.2">
      <c r="A82" s="451" t="s">
        <v>67</v>
      </c>
      <c r="B82" s="430" t="s">
        <v>737</v>
      </c>
      <c r="C82" s="444"/>
      <c r="D82" s="444"/>
      <c r="E82" s="444"/>
      <c r="F82" s="444"/>
      <c r="G82" s="444"/>
      <c r="H82" s="444"/>
    </row>
    <row r="83" spans="1:8" ht="20.100000000000001" customHeight="1" x14ac:dyDescent="0.2">
      <c r="A83" s="451" t="s">
        <v>2</v>
      </c>
      <c r="B83" s="430" t="s">
        <v>753</v>
      </c>
      <c r="C83" s="444">
        <v>64337985</v>
      </c>
      <c r="D83" s="444">
        <f>'5.sz.m.-Beruházás és felújítás'!C41</f>
        <v>727482345</v>
      </c>
      <c r="E83" s="444">
        <f>'5.sz.m.-Beruházás és felújítás'!D41</f>
        <v>716957662</v>
      </c>
      <c r="F83" s="444">
        <v>715653068</v>
      </c>
      <c r="G83" s="444">
        <f>'5.sz.m.-Beruházás és felújítás'!F41</f>
        <v>712432235</v>
      </c>
      <c r="H83" s="431">
        <f>'5.sz.m.-Beruházás és felújítás'!G41</f>
        <v>268389009</v>
      </c>
    </row>
    <row r="84" spans="1:8" ht="20.100000000000001" customHeight="1" x14ac:dyDescent="0.2">
      <c r="A84" s="451" t="s">
        <v>10</v>
      </c>
      <c r="B84" s="430" t="s">
        <v>754</v>
      </c>
      <c r="C84" s="444">
        <v>42494750</v>
      </c>
      <c r="D84" s="444">
        <f>'5.sz.m.-Beruházás és felújítás'!C79</f>
        <v>32843676</v>
      </c>
      <c r="E84" s="444">
        <f>'5.sz.m.-Beruházás és felújítás'!D79</f>
        <v>35919591</v>
      </c>
      <c r="F84" s="444">
        <v>36119437</v>
      </c>
      <c r="G84" s="444">
        <f>'5.sz.m.-Beruházás és felújítás'!F79</f>
        <v>43758543</v>
      </c>
      <c r="H84" s="431">
        <f>'5.sz.m.-Beruházás és felújítás'!G79</f>
        <v>9492047</v>
      </c>
    </row>
    <row r="85" spans="1:8" ht="20.100000000000001" customHeight="1" x14ac:dyDescent="0.2">
      <c r="A85" s="451" t="s">
        <v>5</v>
      </c>
      <c r="B85" s="486" t="s">
        <v>539</v>
      </c>
      <c r="C85" s="487">
        <v>0</v>
      </c>
      <c r="D85" s="487">
        <v>0</v>
      </c>
      <c r="E85" s="487">
        <v>0</v>
      </c>
      <c r="F85" s="487">
        <f>16300000+5231976</f>
        <v>21531976</v>
      </c>
      <c r="G85" s="487">
        <f>16300000+5231976</f>
        <v>21531976</v>
      </c>
      <c r="H85" s="487">
        <v>0</v>
      </c>
    </row>
    <row r="86" spans="1:8" ht="20.100000000000001" customHeight="1" x14ac:dyDescent="0.2">
      <c r="A86" s="451" t="s">
        <v>6</v>
      </c>
      <c r="B86" s="430" t="s">
        <v>100</v>
      </c>
      <c r="C86" s="444"/>
      <c r="D86" s="444"/>
      <c r="E86" s="444"/>
      <c r="F86" s="444"/>
      <c r="G86" s="444"/>
      <c r="H86" s="444"/>
    </row>
    <row r="87" spans="1:8" ht="20.100000000000001" customHeight="1" x14ac:dyDescent="0.2">
      <c r="A87" s="451"/>
      <c r="B87" s="447" t="s">
        <v>747</v>
      </c>
      <c r="C87" s="431">
        <v>600000</v>
      </c>
      <c r="D87" s="431">
        <v>600000</v>
      </c>
      <c r="E87" s="431">
        <v>600000</v>
      </c>
      <c r="F87" s="431">
        <v>600000</v>
      </c>
      <c r="G87" s="431">
        <v>600000</v>
      </c>
      <c r="H87" s="431">
        <v>500000</v>
      </c>
    </row>
    <row r="88" spans="1:8" ht="20.100000000000001" customHeight="1" x14ac:dyDescent="0.2">
      <c r="A88" s="451"/>
      <c r="B88" s="435" t="s">
        <v>101</v>
      </c>
      <c r="C88" s="441">
        <f>C87</f>
        <v>600000</v>
      </c>
      <c r="D88" s="441">
        <f>SUM(D87)</f>
        <v>600000</v>
      </c>
      <c r="E88" s="441">
        <f>SUM(E87)</f>
        <v>600000</v>
      </c>
      <c r="F88" s="441">
        <f t="shared" ref="F88:H88" si="28">SUM(F87)</f>
        <v>600000</v>
      </c>
      <c r="G88" s="441">
        <f t="shared" ref="G88" si="29">SUM(G87)</f>
        <v>600000</v>
      </c>
      <c r="H88" s="441">
        <f t="shared" si="28"/>
        <v>500000</v>
      </c>
    </row>
    <row r="89" spans="1:8" ht="20.100000000000001" customHeight="1" x14ac:dyDescent="0.2">
      <c r="A89" s="451" t="s">
        <v>8</v>
      </c>
      <c r="B89" s="430" t="s">
        <v>248</v>
      </c>
      <c r="C89" s="444"/>
      <c r="D89" s="444"/>
      <c r="E89" s="444"/>
      <c r="F89" s="444"/>
      <c r="G89" s="444"/>
      <c r="H89" s="444"/>
    </row>
    <row r="90" spans="1:8" ht="20.100000000000001" customHeight="1" x14ac:dyDescent="0.2">
      <c r="A90" s="451"/>
      <c r="B90" s="447" t="s">
        <v>748</v>
      </c>
      <c r="C90" s="431">
        <v>2305000</v>
      </c>
      <c r="D90" s="431">
        <v>3820000</v>
      </c>
      <c r="E90" s="431">
        <v>3820000</v>
      </c>
      <c r="F90" s="431">
        <v>3820000</v>
      </c>
      <c r="G90" s="431">
        <f>F90+[2]III.módosítás!$AU$46</f>
        <v>3640747</v>
      </c>
      <c r="H90" s="431">
        <v>3640747</v>
      </c>
    </row>
    <row r="91" spans="1:8" ht="20.100000000000001" customHeight="1" x14ac:dyDescent="0.2">
      <c r="A91" s="451"/>
      <c r="B91" s="447" t="s">
        <v>749</v>
      </c>
      <c r="C91" s="431"/>
      <c r="D91" s="431">
        <v>10000000</v>
      </c>
      <c r="E91" s="431">
        <v>10000000</v>
      </c>
      <c r="F91" s="431">
        <v>10000000</v>
      </c>
      <c r="G91" s="431">
        <v>10000000</v>
      </c>
      <c r="H91" s="431"/>
    </row>
    <row r="92" spans="1:8" ht="20.100000000000001" customHeight="1" x14ac:dyDescent="0.2">
      <c r="A92" s="449"/>
      <c r="B92" s="462" t="s">
        <v>102</v>
      </c>
      <c r="C92" s="441">
        <f>SUM(C90:C91)</f>
        <v>2305000</v>
      </c>
      <c r="D92" s="441">
        <f>SUM(D90:D91)</f>
        <v>13820000</v>
      </c>
      <c r="E92" s="441">
        <f>SUM(E90:E91)</f>
        <v>13820000</v>
      </c>
      <c r="F92" s="441">
        <f t="shared" ref="F92:H92" si="30">SUM(F90:F91)</f>
        <v>13820000</v>
      </c>
      <c r="G92" s="441">
        <f t="shared" ref="G92" si="31">SUM(G90:G91)</f>
        <v>13640747</v>
      </c>
      <c r="H92" s="441">
        <f t="shared" si="30"/>
        <v>3640747</v>
      </c>
    </row>
    <row r="93" spans="1:8" ht="24.95" customHeight="1" x14ac:dyDescent="0.2">
      <c r="A93" s="451" t="s">
        <v>21</v>
      </c>
      <c r="B93" s="430" t="s">
        <v>299</v>
      </c>
      <c r="C93" s="444"/>
      <c r="D93" s="431"/>
      <c r="E93" s="431"/>
      <c r="F93" s="431"/>
      <c r="G93" s="431"/>
      <c r="H93" s="431"/>
    </row>
    <row r="94" spans="1:8" ht="20.100000000000001" customHeight="1" x14ac:dyDescent="0.2">
      <c r="A94" s="451"/>
      <c r="B94" s="432" t="s">
        <v>351</v>
      </c>
      <c r="C94" s="431">
        <v>1000000</v>
      </c>
      <c r="D94" s="431">
        <v>1000000</v>
      </c>
      <c r="E94" s="431">
        <v>1000000</v>
      </c>
      <c r="F94" s="431">
        <v>1000000</v>
      </c>
      <c r="G94" s="431">
        <v>1000000</v>
      </c>
      <c r="H94" s="431">
        <v>500000</v>
      </c>
    </row>
    <row r="95" spans="1:8" s="69" customFormat="1" ht="20.100000000000001" customHeight="1" x14ac:dyDescent="0.2">
      <c r="A95" s="449"/>
      <c r="B95" s="450" t="s">
        <v>221</v>
      </c>
      <c r="C95" s="441">
        <f t="shared" ref="C95:D95" si="32">C94</f>
        <v>1000000</v>
      </c>
      <c r="D95" s="441">
        <f t="shared" si="32"/>
        <v>1000000</v>
      </c>
      <c r="E95" s="441">
        <f t="shared" ref="E95:H95" si="33">E94</f>
        <v>1000000</v>
      </c>
      <c r="F95" s="441">
        <f t="shared" si="33"/>
        <v>1000000</v>
      </c>
      <c r="G95" s="441">
        <f t="shared" ref="G95" si="34">G94</f>
        <v>1000000</v>
      </c>
      <c r="H95" s="441">
        <f t="shared" si="33"/>
        <v>500000</v>
      </c>
    </row>
    <row r="96" spans="1:8" s="69" customFormat="1" ht="23.1" customHeight="1" x14ac:dyDescent="0.2">
      <c r="A96" s="451"/>
      <c r="B96" s="463" t="s">
        <v>750</v>
      </c>
      <c r="C96" s="454">
        <f t="shared" ref="C96:H96" si="35">C83+C84+C85+C88+C92+C95</f>
        <v>110737735</v>
      </c>
      <c r="D96" s="454">
        <f t="shared" si="35"/>
        <v>775746021</v>
      </c>
      <c r="E96" s="454">
        <f t="shared" si="35"/>
        <v>768297253</v>
      </c>
      <c r="F96" s="454">
        <f t="shared" si="35"/>
        <v>788724481</v>
      </c>
      <c r="G96" s="454">
        <f t="shared" ref="G96" si="36">G83+G84+G85+G88+G92+G95</f>
        <v>792963501</v>
      </c>
      <c r="H96" s="454">
        <f t="shared" si="35"/>
        <v>282521803</v>
      </c>
    </row>
    <row r="97" spans="1:8" s="69" customFormat="1" ht="27" customHeight="1" x14ac:dyDescent="0.2">
      <c r="A97" s="451" t="s">
        <v>68</v>
      </c>
      <c r="B97" s="443" t="s">
        <v>329</v>
      </c>
      <c r="C97" s="444"/>
      <c r="D97" s="444"/>
      <c r="E97" s="444"/>
      <c r="F97" s="444"/>
      <c r="G97" s="444"/>
      <c r="H97" s="444"/>
    </row>
    <row r="98" spans="1:8" ht="18" customHeight="1" x14ac:dyDescent="0.2">
      <c r="A98" s="451" t="s">
        <v>2</v>
      </c>
      <c r="B98" s="430" t="s">
        <v>753</v>
      </c>
      <c r="C98" s="444">
        <v>1270000</v>
      </c>
      <c r="D98" s="444">
        <f>'5.sz.m.-Beruházás és felújítás'!C45</f>
        <v>1000000</v>
      </c>
      <c r="E98" s="444">
        <f>'5.sz.m.-Beruházás és felújítás'!D45</f>
        <v>1000000</v>
      </c>
      <c r="F98" s="444">
        <v>1341565</v>
      </c>
      <c r="G98" s="444">
        <f>1341565+[2]III.módosítás!$AR$56</f>
        <v>1772555</v>
      </c>
      <c r="H98" s="431">
        <f>'5.sz.m.-Beruházás és felújítás'!G45</f>
        <v>1427655</v>
      </c>
    </row>
    <row r="99" spans="1:8" ht="18" customHeight="1" x14ac:dyDescent="0.2">
      <c r="A99" s="451" t="s">
        <v>4</v>
      </c>
      <c r="B99" s="430" t="s">
        <v>803</v>
      </c>
      <c r="C99" s="444"/>
      <c r="D99" s="444"/>
      <c r="E99" s="444"/>
      <c r="F99" s="444">
        <v>600000</v>
      </c>
      <c r="G99" s="444">
        <v>600000</v>
      </c>
      <c r="H99" s="431">
        <v>600000</v>
      </c>
    </row>
    <row r="100" spans="1:8" ht="24.95" customHeight="1" x14ac:dyDescent="0.2">
      <c r="A100" s="451"/>
      <c r="B100" s="463" t="s">
        <v>750</v>
      </c>
      <c r="C100" s="454">
        <f>SUM(C98:C99)</f>
        <v>1270000</v>
      </c>
      <c r="D100" s="454">
        <f t="shared" ref="D100:H100" si="37">SUM(D98:D99)</f>
        <v>1000000</v>
      </c>
      <c r="E100" s="454">
        <f t="shared" si="37"/>
        <v>1000000</v>
      </c>
      <c r="F100" s="454">
        <f t="shared" si="37"/>
        <v>1941565</v>
      </c>
      <c r="G100" s="454">
        <f t="shared" ref="G100" si="38">SUM(G98:G99)</f>
        <v>2372555</v>
      </c>
      <c r="H100" s="454">
        <f t="shared" si="37"/>
        <v>2027655</v>
      </c>
    </row>
    <row r="101" spans="1:8" ht="15.75" x14ac:dyDescent="0.2">
      <c r="A101" s="451" t="s">
        <v>69</v>
      </c>
      <c r="B101" s="443" t="s">
        <v>752</v>
      </c>
      <c r="C101" s="444"/>
      <c r="D101" s="444"/>
      <c r="E101" s="444"/>
      <c r="F101" s="444"/>
      <c r="G101" s="444"/>
      <c r="H101" s="444"/>
    </row>
    <row r="102" spans="1:8" ht="15.75" x14ac:dyDescent="0.2">
      <c r="A102" s="451" t="s">
        <v>2</v>
      </c>
      <c r="B102" s="430" t="s">
        <v>753</v>
      </c>
      <c r="C102" s="444">
        <v>5500000</v>
      </c>
      <c r="D102" s="444">
        <f>'5.sz.m.-Beruházás és felújítás'!C56</f>
        <v>2200000</v>
      </c>
      <c r="E102" s="444">
        <f>'5.sz.m.-Beruházás és felújítás'!D56</f>
        <v>2200000</v>
      </c>
      <c r="F102" s="444">
        <v>2200000</v>
      </c>
      <c r="G102" s="444">
        <v>700000</v>
      </c>
      <c r="H102" s="444">
        <v>635589</v>
      </c>
    </row>
    <row r="103" spans="1:8" ht="15.75" x14ac:dyDescent="0.2">
      <c r="A103" s="451"/>
      <c r="B103" s="463" t="s">
        <v>750</v>
      </c>
      <c r="C103" s="454">
        <f>C102</f>
        <v>5500000</v>
      </c>
      <c r="D103" s="454">
        <f>D102</f>
        <v>2200000</v>
      </c>
      <c r="E103" s="454">
        <f>E102</f>
        <v>2200000</v>
      </c>
      <c r="F103" s="454">
        <f t="shared" ref="F103:H103" si="39">F102</f>
        <v>2200000</v>
      </c>
      <c r="G103" s="454">
        <f t="shared" ref="G103" si="40">G102</f>
        <v>700000</v>
      </c>
      <c r="H103" s="454">
        <f t="shared" si="39"/>
        <v>635589</v>
      </c>
    </row>
    <row r="104" spans="1:8" ht="15.75" x14ac:dyDescent="0.2">
      <c r="A104" s="451" t="s">
        <v>318</v>
      </c>
      <c r="B104" s="443" t="s">
        <v>319</v>
      </c>
      <c r="C104" s="444"/>
      <c r="D104" s="444"/>
      <c r="E104" s="444"/>
      <c r="F104" s="444"/>
      <c r="G104" s="444"/>
      <c r="H104" s="444"/>
    </row>
    <row r="105" spans="1:8" ht="15.75" x14ac:dyDescent="0.2">
      <c r="A105" s="451" t="s">
        <v>2</v>
      </c>
      <c r="B105" s="430" t="s">
        <v>753</v>
      </c>
      <c r="C105" s="444">
        <v>360000</v>
      </c>
      <c r="D105" s="444">
        <f>'5.sz.m.-Beruházás és felújítás'!C68</f>
        <v>21263948</v>
      </c>
      <c r="E105" s="444">
        <f>'5.sz.m.-Beruházás és felújítás'!D68</f>
        <v>23060103</v>
      </c>
      <c r="F105" s="444">
        <v>30710240</v>
      </c>
      <c r="G105" s="444">
        <v>29710240</v>
      </c>
      <c r="H105" s="444">
        <v>16305273</v>
      </c>
    </row>
    <row r="106" spans="1:8" ht="21.75" customHeight="1" x14ac:dyDescent="0.2">
      <c r="A106" s="451"/>
      <c r="B106" s="463" t="s">
        <v>750</v>
      </c>
      <c r="C106" s="454">
        <f>C105</f>
        <v>360000</v>
      </c>
      <c r="D106" s="454">
        <f>D105</f>
        <v>21263948</v>
      </c>
      <c r="E106" s="454">
        <f>E105</f>
        <v>23060103</v>
      </c>
      <c r="F106" s="454">
        <f t="shared" ref="F106:H106" si="41">F105</f>
        <v>30710240</v>
      </c>
      <c r="G106" s="454">
        <f t="shared" ref="G106" si="42">G105</f>
        <v>29710240</v>
      </c>
      <c r="H106" s="454">
        <f t="shared" si="41"/>
        <v>16305273</v>
      </c>
    </row>
    <row r="107" spans="1:8" ht="18" x14ac:dyDescent="0.2">
      <c r="A107" s="465"/>
      <c r="B107" s="466" t="s">
        <v>761</v>
      </c>
      <c r="C107" s="454">
        <f>C96+C100+C103+C106</f>
        <v>117867735</v>
      </c>
      <c r="D107" s="454">
        <f>D96+D100+D103+D106</f>
        <v>800209969</v>
      </c>
      <c r="E107" s="454">
        <f>E96+E100+E103+E106</f>
        <v>794557356</v>
      </c>
      <c r="F107" s="454">
        <f t="shared" ref="F107:H107" si="43">F96+F100+F103+F106</f>
        <v>823576286</v>
      </c>
      <c r="G107" s="454">
        <f t="shared" ref="G107" si="44">G96+G100+G103+G106</f>
        <v>825746296</v>
      </c>
      <c r="H107" s="454">
        <f t="shared" si="43"/>
        <v>301490320</v>
      </c>
    </row>
    <row r="108" spans="1:8" ht="15.75" x14ac:dyDescent="0.2">
      <c r="A108" s="451" t="s">
        <v>686</v>
      </c>
      <c r="B108" s="443" t="s">
        <v>304</v>
      </c>
      <c r="C108" s="464"/>
      <c r="D108" s="464"/>
      <c r="E108" s="464"/>
      <c r="F108" s="464"/>
      <c r="G108" s="464"/>
      <c r="H108" s="431"/>
    </row>
    <row r="109" spans="1:8" ht="15.75" x14ac:dyDescent="0.2">
      <c r="A109" s="451" t="s">
        <v>67</v>
      </c>
      <c r="B109" s="443" t="s">
        <v>737</v>
      </c>
      <c r="C109" s="464"/>
      <c r="D109" s="464"/>
      <c r="E109" s="464"/>
      <c r="F109" s="464"/>
      <c r="G109" s="464"/>
      <c r="H109" s="431"/>
    </row>
    <row r="110" spans="1:8" x14ac:dyDescent="0.2">
      <c r="A110" s="467"/>
      <c r="B110" s="467" t="s">
        <v>755</v>
      </c>
      <c r="C110" s="464">
        <v>10000000</v>
      </c>
      <c r="D110" s="464">
        <v>10000000</v>
      </c>
      <c r="E110" s="464">
        <v>10000000</v>
      </c>
      <c r="F110" s="464">
        <v>10000000</v>
      </c>
      <c r="G110" s="464">
        <v>10000000</v>
      </c>
      <c r="H110" s="431">
        <v>10000000</v>
      </c>
    </row>
    <row r="111" spans="1:8" x14ac:dyDescent="0.2">
      <c r="A111" s="467"/>
      <c r="B111" s="467" t="s">
        <v>756</v>
      </c>
      <c r="C111" s="464"/>
      <c r="D111" s="464">
        <v>100000000</v>
      </c>
      <c r="E111" s="464">
        <v>100000000</v>
      </c>
      <c r="F111" s="464">
        <v>100000000</v>
      </c>
      <c r="G111" s="464">
        <v>100000000</v>
      </c>
      <c r="H111" s="431">
        <v>100000000</v>
      </c>
    </row>
    <row r="112" spans="1:8" x14ac:dyDescent="0.2">
      <c r="A112" s="467"/>
      <c r="B112" s="467" t="s">
        <v>757</v>
      </c>
      <c r="C112" s="464">
        <v>12597768</v>
      </c>
      <c r="D112" s="464">
        <v>14048925</v>
      </c>
      <c r="E112" s="464">
        <v>14048925</v>
      </c>
      <c r="F112" s="464">
        <f>14048925+55508</f>
        <v>14104433</v>
      </c>
      <c r="G112" s="464">
        <f>F112+[2]III.módosítás!$AX$26</f>
        <v>14114285</v>
      </c>
      <c r="H112" s="431">
        <v>14098979</v>
      </c>
    </row>
    <row r="113" spans="1:8" ht="15.75" x14ac:dyDescent="0.2">
      <c r="A113" s="468"/>
      <c r="B113" s="463" t="s">
        <v>762</v>
      </c>
      <c r="C113" s="454">
        <f>SUM(C110:C112)</f>
        <v>22597768</v>
      </c>
      <c r="D113" s="454">
        <f>SUM(D110:D112)</f>
        <v>124048925</v>
      </c>
      <c r="E113" s="454">
        <f>SUM(E110:E112)</f>
        <v>124048925</v>
      </c>
      <c r="F113" s="454">
        <f t="shared" ref="F113:H113" si="45">SUM(F110:F112)</f>
        <v>124104433</v>
      </c>
      <c r="G113" s="454">
        <f t="shared" ref="G113" si="46">SUM(G110:G112)</f>
        <v>124114285</v>
      </c>
      <c r="H113" s="454">
        <f t="shared" si="45"/>
        <v>124098979</v>
      </c>
    </row>
    <row r="114" spans="1:8" ht="15.75" x14ac:dyDescent="0.2">
      <c r="A114" s="463"/>
      <c r="B114" s="463" t="s">
        <v>758</v>
      </c>
      <c r="C114" s="454">
        <f t="shared" ref="C114:H114" si="47">C80+C107+C113</f>
        <v>1128405000</v>
      </c>
      <c r="D114" s="454">
        <f t="shared" si="47"/>
        <v>2043098000</v>
      </c>
      <c r="E114" s="454">
        <f t="shared" si="47"/>
        <v>2078337468</v>
      </c>
      <c r="F114" s="454">
        <f t="shared" si="47"/>
        <v>2100941740</v>
      </c>
      <c r="G114" s="454">
        <f>G80+G107+G113</f>
        <v>2475242960</v>
      </c>
      <c r="H114" s="454">
        <f t="shared" si="47"/>
        <v>1333817719</v>
      </c>
    </row>
  </sheetData>
  <phoneticPr fontId="8" type="noConversion"/>
  <printOptions horizontalCentered="1"/>
  <pageMargins left="0.23622047244094491" right="0.23622047244094491" top="1.1811023622047245" bottom="0.19685039370078741" header="0.43307086614173229" footer="0.19685039370078741"/>
  <pageSetup paperSize="9" scale="56" fitToHeight="0" orientation="portrait" horizontalDpi="4294967294" r:id="rId1"/>
  <headerFooter alignWithMargins="0">
    <oddHeader xml:space="preserve">&amp;C&amp;"Garamond,Félkövér"&amp;12 11/2019. (V.17.)  számú költségvetési rendelethez
ZALAKAROS VÁROS ÖNKORMÁNYZATA ÉS KÖLTSÉGVETÉSI SZERVEI  
2018. ÉVI  KIADÁSAI JOGCÍMENKÉNT
&amp;R&amp;A
&amp;P.oldal
forintban
</oddHeader>
  </headerFooter>
  <rowBreaks count="1" manualBreakCount="1">
    <brk id="5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27"/>
  <sheetViews>
    <sheetView topLeftCell="A10" zoomScale="85" zoomScaleNormal="85" workbookViewId="0">
      <selection activeCell="O7" sqref="O7"/>
    </sheetView>
  </sheetViews>
  <sheetFormatPr defaultColWidth="9.140625" defaultRowHeight="12.75" x14ac:dyDescent="0.2"/>
  <cols>
    <col min="1" max="1" width="7.140625" style="10" customWidth="1"/>
    <col min="2" max="2" width="65" style="10" customWidth="1"/>
    <col min="3" max="3" width="12.5703125" style="10" customWidth="1"/>
    <col min="4" max="4" width="15.42578125" style="10" customWidth="1"/>
    <col min="5" max="5" width="14.5703125" style="10" customWidth="1"/>
    <col min="6" max="6" width="15.7109375" style="10" customWidth="1"/>
    <col min="7" max="7" width="13.28515625" style="10" customWidth="1"/>
    <col min="8" max="8" width="17.7109375" style="10" bestFit="1" customWidth="1"/>
    <col min="9" max="16384" width="9.140625" style="10"/>
  </cols>
  <sheetData>
    <row r="1" spans="1:8" ht="15" customHeight="1" x14ac:dyDescent="0.2">
      <c r="A1" s="914" t="s">
        <v>46</v>
      </c>
      <c r="B1" s="916" t="s">
        <v>15</v>
      </c>
      <c r="C1" s="915" t="s">
        <v>565</v>
      </c>
      <c r="D1" s="915" t="s">
        <v>316</v>
      </c>
      <c r="E1" s="915" t="s">
        <v>643</v>
      </c>
      <c r="F1" s="915" t="s">
        <v>779</v>
      </c>
      <c r="G1" s="915" t="s">
        <v>793</v>
      </c>
      <c r="H1" s="915" t="s">
        <v>794</v>
      </c>
    </row>
    <row r="2" spans="1:8" ht="15" customHeight="1" x14ac:dyDescent="0.2">
      <c r="A2" s="914"/>
      <c r="B2" s="916"/>
      <c r="C2" s="915"/>
      <c r="D2" s="915"/>
      <c r="E2" s="915"/>
      <c r="F2" s="915"/>
      <c r="G2" s="915"/>
      <c r="H2" s="915"/>
    </row>
    <row r="3" spans="1:8" ht="15" customHeight="1" x14ac:dyDescent="0.2">
      <c r="A3" s="914"/>
      <c r="B3" s="916"/>
      <c r="C3" s="915"/>
      <c r="D3" s="915"/>
      <c r="E3" s="915"/>
      <c r="F3" s="915"/>
      <c r="G3" s="915"/>
      <c r="H3" s="915"/>
    </row>
    <row r="4" spans="1:8" ht="15" customHeight="1" x14ac:dyDescent="0.2">
      <c r="A4" s="914"/>
      <c r="B4" s="916"/>
      <c r="C4" s="915"/>
      <c r="D4" s="915"/>
      <c r="E4" s="915"/>
      <c r="F4" s="915"/>
      <c r="G4" s="915"/>
      <c r="H4" s="915"/>
    </row>
    <row r="5" spans="1:8" ht="28.35" customHeight="1" x14ac:dyDescent="0.2">
      <c r="A5" s="913" t="s">
        <v>118</v>
      </c>
      <c r="B5" s="913"/>
      <c r="C5" s="913"/>
      <c r="D5" s="217"/>
      <c r="E5" s="217"/>
      <c r="F5" s="217"/>
      <c r="G5" s="217"/>
      <c r="H5" s="217"/>
    </row>
    <row r="6" spans="1:8" ht="28.35" customHeight="1" x14ac:dyDescent="0.2">
      <c r="A6" s="141" t="s">
        <v>2</v>
      </c>
      <c r="B6" s="142" t="s">
        <v>311</v>
      </c>
      <c r="C6" s="257"/>
      <c r="D6" s="257"/>
      <c r="E6" s="257"/>
      <c r="F6" s="257"/>
      <c r="G6" s="257"/>
      <c r="H6" s="257"/>
    </row>
    <row r="7" spans="1:8" ht="28.35" customHeight="1" x14ac:dyDescent="0.2">
      <c r="A7" s="143"/>
      <c r="B7" s="144" t="s">
        <v>312</v>
      </c>
      <c r="C7" s="258"/>
      <c r="D7" s="261"/>
      <c r="E7" s="261"/>
      <c r="F7" s="261">
        <v>154000</v>
      </c>
      <c r="G7" s="261">
        <v>284000</v>
      </c>
      <c r="H7" s="261">
        <v>284000</v>
      </c>
    </row>
    <row r="8" spans="1:8" ht="28.35" customHeight="1" x14ac:dyDescent="0.2">
      <c r="A8" s="140" t="s">
        <v>4</v>
      </c>
      <c r="B8" s="175" t="s">
        <v>314</v>
      </c>
      <c r="C8" s="259"/>
      <c r="D8" s="259">
        <f>D7</f>
        <v>0</v>
      </c>
      <c r="E8" s="259">
        <f>E7</f>
        <v>0</v>
      </c>
      <c r="F8" s="259">
        <f t="shared" ref="F8:H8" si="0">F7</f>
        <v>154000</v>
      </c>
      <c r="G8" s="259">
        <f t="shared" si="0"/>
        <v>284000</v>
      </c>
      <c r="H8" s="259">
        <f t="shared" si="0"/>
        <v>284000</v>
      </c>
    </row>
    <row r="9" spans="1:8" ht="28.35" customHeight="1" x14ac:dyDescent="0.2">
      <c r="A9" s="116"/>
      <c r="B9" s="65" t="s">
        <v>73</v>
      </c>
      <c r="C9" s="260"/>
      <c r="D9" s="260"/>
      <c r="E9" s="260"/>
      <c r="F9" s="260"/>
      <c r="G9" s="260"/>
      <c r="H9" s="260"/>
    </row>
    <row r="10" spans="1:8" ht="28.35" customHeight="1" x14ac:dyDescent="0.2">
      <c r="A10" s="116"/>
      <c r="B10" s="62" t="s">
        <v>109</v>
      </c>
      <c r="C10" s="250"/>
      <c r="D10" s="250"/>
      <c r="E10" s="250"/>
      <c r="F10" s="250"/>
      <c r="G10" s="250"/>
      <c r="H10" s="250"/>
    </row>
    <row r="11" spans="1:8" ht="28.35" customHeight="1" x14ac:dyDescent="0.2">
      <c r="A11" s="116"/>
      <c r="B11" s="176" t="s">
        <v>313</v>
      </c>
      <c r="C11" s="251">
        <f>SUM(C9:C10)</f>
        <v>0</v>
      </c>
      <c r="D11" s="251">
        <f>SUM(D9:D10)</f>
        <v>0</v>
      </c>
      <c r="E11" s="251">
        <f>SUM(E9:E10)</f>
        <v>0</v>
      </c>
      <c r="F11" s="251">
        <f t="shared" ref="F11:H11" si="1">SUM(F9:F10)</f>
        <v>0</v>
      </c>
      <c r="G11" s="251">
        <f t="shared" si="1"/>
        <v>0</v>
      </c>
      <c r="H11" s="251">
        <f t="shared" si="1"/>
        <v>0</v>
      </c>
    </row>
    <row r="12" spans="1:8" ht="28.35" customHeight="1" x14ac:dyDescent="0.2">
      <c r="A12" s="140" t="s">
        <v>5</v>
      </c>
      <c r="B12" s="63" t="s">
        <v>111</v>
      </c>
      <c r="C12" s="250"/>
      <c r="D12" s="250"/>
      <c r="E12" s="250"/>
      <c r="F12" s="250"/>
      <c r="G12" s="250"/>
      <c r="H12" s="250"/>
    </row>
    <row r="13" spans="1:8" ht="28.35" customHeight="1" x14ac:dyDescent="0.2">
      <c r="A13" s="116"/>
      <c r="B13" s="62" t="s">
        <v>110</v>
      </c>
      <c r="C13" s="250"/>
      <c r="D13" s="250"/>
      <c r="E13" s="250"/>
      <c r="F13" s="250"/>
      <c r="G13" s="250"/>
      <c r="H13" s="250"/>
    </row>
    <row r="14" spans="1:8" ht="28.35" customHeight="1" x14ac:dyDescent="0.2">
      <c r="A14" s="116"/>
      <c r="B14" s="176" t="s">
        <v>112</v>
      </c>
      <c r="C14" s="252">
        <f>SUM(C13)</f>
        <v>0</v>
      </c>
      <c r="D14" s="252">
        <f>SUM(D13)</f>
        <v>0</v>
      </c>
      <c r="E14" s="252">
        <f>SUM(E13)</f>
        <v>0</v>
      </c>
      <c r="F14" s="252">
        <f t="shared" ref="F14:H14" si="2">SUM(F13)</f>
        <v>0</v>
      </c>
      <c r="G14" s="252">
        <f t="shared" si="2"/>
        <v>0</v>
      </c>
      <c r="H14" s="252">
        <f t="shared" si="2"/>
        <v>0</v>
      </c>
    </row>
    <row r="15" spans="1:8" ht="28.35" customHeight="1" x14ac:dyDescent="0.2">
      <c r="A15" s="140" t="s">
        <v>6</v>
      </c>
      <c r="B15" s="63" t="s">
        <v>113</v>
      </c>
      <c r="C15" s="253"/>
      <c r="D15" s="253"/>
      <c r="E15" s="253"/>
      <c r="F15" s="253"/>
      <c r="G15" s="253"/>
      <c r="H15" s="253"/>
    </row>
    <row r="16" spans="1:8" ht="28.35" customHeight="1" x14ac:dyDescent="0.2">
      <c r="A16" s="116"/>
      <c r="B16" s="62" t="s">
        <v>114</v>
      </c>
      <c r="C16" s="254"/>
      <c r="D16" s="254"/>
      <c r="E16" s="254"/>
      <c r="F16" s="254"/>
      <c r="G16" s="254"/>
      <c r="H16" s="254"/>
    </row>
    <row r="17" spans="1:8" ht="28.35" customHeight="1" x14ac:dyDescent="0.2">
      <c r="A17" s="116"/>
      <c r="B17" s="62" t="s">
        <v>115</v>
      </c>
      <c r="C17" s="254">
        <v>0</v>
      </c>
      <c r="D17" s="254">
        <v>0</v>
      </c>
      <c r="E17" s="254">
        <v>0</v>
      </c>
      <c r="F17" s="254">
        <v>0</v>
      </c>
      <c r="G17" s="254">
        <v>0</v>
      </c>
      <c r="H17" s="254">
        <v>0</v>
      </c>
    </row>
    <row r="18" spans="1:8" ht="28.35" customHeight="1" x14ac:dyDescent="0.2">
      <c r="A18" s="117"/>
      <c r="B18" s="176" t="s">
        <v>113</v>
      </c>
      <c r="C18" s="251">
        <f>SUM(C16:C17)</f>
        <v>0</v>
      </c>
      <c r="D18" s="251">
        <f>SUM(D16:D17)</f>
        <v>0</v>
      </c>
      <c r="E18" s="251">
        <f>SUM(E16:E17)</f>
        <v>0</v>
      </c>
      <c r="F18" s="251">
        <f t="shared" ref="F18:H18" si="3">SUM(F16:F17)</f>
        <v>0</v>
      </c>
      <c r="G18" s="251">
        <f t="shared" si="3"/>
        <v>0</v>
      </c>
      <c r="H18" s="251">
        <f t="shared" si="3"/>
        <v>0</v>
      </c>
    </row>
    <row r="19" spans="1:8" ht="28.35" customHeight="1" x14ac:dyDescent="0.2">
      <c r="A19" s="140" t="s">
        <v>8</v>
      </c>
      <c r="B19" s="63" t="s">
        <v>116</v>
      </c>
      <c r="C19" s="254"/>
      <c r="D19" s="254"/>
      <c r="E19" s="254"/>
      <c r="F19" s="254"/>
      <c r="G19" s="254"/>
      <c r="H19" s="254"/>
    </row>
    <row r="20" spans="1:8" ht="28.35" customHeight="1" x14ac:dyDescent="0.2">
      <c r="A20" s="140"/>
      <c r="B20" s="63" t="s">
        <v>496</v>
      </c>
      <c r="C20" s="254">
        <v>4730000</v>
      </c>
      <c r="D20" s="254">
        <v>3730000</v>
      </c>
      <c r="E20" s="254">
        <v>3730000</v>
      </c>
      <c r="F20" s="254">
        <v>3730000</v>
      </c>
      <c r="G20" s="254">
        <v>6530420</v>
      </c>
      <c r="H20" s="254">
        <v>3923306</v>
      </c>
    </row>
    <row r="21" spans="1:8" ht="28.35" customHeight="1" x14ac:dyDescent="0.2">
      <c r="A21" s="117"/>
      <c r="B21" s="63" t="s">
        <v>856</v>
      </c>
      <c r="C21" s="254">
        <v>3770000</v>
      </c>
      <c r="D21" s="254">
        <v>3770000</v>
      </c>
      <c r="E21" s="254">
        <v>3770000</v>
      </c>
      <c r="F21" s="254">
        <f>3770000-449580</f>
        <v>3320420</v>
      </c>
      <c r="G21" s="254">
        <v>520000</v>
      </c>
      <c r="H21" s="254">
        <v>520000</v>
      </c>
    </row>
    <row r="22" spans="1:8" ht="28.35" customHeight="1" x14ac:dyDescent="0.2">
      <c r="A22" s="117"/>
      <c r="B22" s="176" t="s">
        <v>117</v>
      </c>
      <c r="C22" s="255">
        <f>C21+C20</f>
        <v>8500000</v>
      </c>
      <c r="D22" s="255">
        <f>D21+D20</f>
        <v>7500000</v>
      </c>
      <c r="E22" s="255">
        <f>E21+E20</f>
        <v>7500000</v>
      </c>
      <c r="F22" s="255">
        <f t="shared" ref="F22:H22" si="4">F21+F20</f>
        <v>7050420</v>
      </c>
      <c r="G22" s="255">
        <f t="shared" si="4"/>
        <v>7050420</v>
      </c>
      <c r="H22" s="255">
        <f t="shared" si="4"/>
        <v>4443306</v>
      </c>
    </row>
    <row r="23" spans="1:8" ht="28.35" customHeight="1" x14ac:dyDescent="0.2">
      <c r="A23" s="61"/>
      <c r="B23" s="64" t="s">
        <v>119</v>
      </c>
      <c r="C23" s="256">
        <f t="shared" ref="C23:E23" si="5">C11+C14+C18+C22+C8</f>
        <v>8500000</v>
      </c>
      <c r="D23" s="256">
        <f t="shared" si="5"/>
        <v>7500000</v>
      </c>
      <c r="E23" s="256">
        <f t="shared" si="5"/>
        <v>7500000</v>
      </c>
      <c r="F23" s="256">
        <f>F11+F14+F18+F22+F8</f>
        <v>7204420</v>
      </c>
      <c r="G23" s="256">
        <f t="shared" ref="G23:H23" si="6">G11+G14+G18+G22+G8</f>
        <v>7334420</v>
      </c>
      <c r="H23" s="256">
        <f t="shared" si="6"/>
        <v>4727306</v>
      </c>
    </row>
    <row r="26" spans="1:8" x14ac:dyDescent="0.2">
      <c r="B26" s="79"/>
    </row>
    <row r="27" spans="1:8" x14ac:dyDescent="0.2">
      <c r="B27" s="79"/>
    </row>
  </sheetData>
  <mergeCells count="9">
    <mergeCell ref="A5:C5"/>
    <mergeCell ref="A1:A4"/>
    <mergeCell ref="F1:F4"/>
    <mergeCell ref="G1:G4"/>
    <mergeCell ref="H1:H4"/>
    <mergeCell ref="E1:E4"/>
    <mergeCell ref="D1:D4"/>
    <mergeCell ref="C1:C4"/>
    <mergeCell ref="B1:B4"/>
  </mergeCells>
  <phoneticPr fontId="8" type="noConversion"/>
  <printOptions horizontalCentered="1"/>
  <pageMargins left="0.23622047244094491" right="0.23622047244094491" top="1.1023622047244095" bottom="0.19685039370078741" header="0.35433070866141736" footer="0.19685039370078741"/>
  <pageSetup paperSize="9" scale="86" fitToWidth="0" orientation="landscape" horizontalDpi="4294967294" r:id="rId1"/>
  <headerFooter alignWithMargins="0">
    <oddHeader xml:space="preserve">&amp;C&amp;"Garamond,Félkövér"&amp;14 11/2019. (V.17.) számú költségvetési rendelethez
Z&amp;12ALAKAROS VÁROS ÖNKORMÁNYZATA ÁLTAL FOLYÓSÍTOTT 
ELLÁTÁSOK (SZOCIÁLIS) RÉSZLETEZÉSE  2018. ÉVBEN
 &amp;R&amp;A
&amp;P.oldal
forintban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H80"/>
  <sheetViews>
    <sheetView topLeftCell="B46" zoomScaleNormal="100" zoomScaleSheetLayoutView="80" workbookViewId="0">
      <selection activeCell="O46" sqref="O46"/>
    </sheetView>
  </sheetViews>
  <sheetFormatPr defaultColWidth="9.140625" defaultRowHeight="12.75" x14ac:dyDescent="0.2"/>
  <cols>
    <col min="1" max="1" width="6.140625" style="10" customWidth="1"/>
    <col min="2" max="2" width="59.28515625" style="10" customWidth="1"/>
    <col min="3" max="3" width="14.28515625" style="10" customWidth="1"/>
    <col min="4" max="6" width="14.140625" style="10" customWidth="1"/>
    <col min="7" max="7" width="15.42578125" style="10" customWidth="1"/>
    <col min="8" max="8" width="14.7109375" style="10" customWidth="1"/>
    <col min="9" max="16384" width="9.140625" style="10"/>
  </cols>
  <sheetData>
    <row r="2" spans="1:8" ht="15" customHeight="1" x14ac:dyDescent="0.2">
      <c r="A2" s="915" t="s">
        <v>46</v>
      </c>
      <c r="B2" s="920" t="s">
        <v>14</v>
      </c>
      <c r="C2" s="917" t="s">
        <v>580</v>
      </c>
      <c r="D2" s="917" t="s">
        <v>643</v>
      </c>
      <c r="E2" s="917" t="s">
        <v>779</v>
      </c>
      <c r="F2" s="917" t="s">
        <v>793</v>
      </c>
      <c r="G2" s="917" t="s">
        <v>795</v>
      </c>
      <c r="H2" s="917" t="s">
        <v>827</v>
      </c>
    </row>
    <row r="3" spans="1:8" ht="15" customHeight="1" x14ac:dyDescent="0.2">
      <c r="A3" s="915"/>
      <c r="B3" s="920"/>
      <c r="C3" s="918"/>
      <c r="D3" s="918"/>
      <c r="E3" s="918"/>
      <c r="F3" s="918"/>
      <c r="G3" s="918"/>
      <c r="H3" s="918"/>
    </row>
    <row r="4" spans="1:8" ht="15" customHeight="1" x14ac:dyDescent="0.2">
      <c r="A4" s="915"/>
      <c r="B4" s="920"/>
      <c r="C4" s="918"/>
      <c r="D4" s="918"/>
      <c r="E4" s="918"/>
      <c r="F4" s="918"/>
      <c r="G4" s="918"/>
      <c r="H4" s="918"/>
    </row>
    <row r="5" spans="1:8" ht="15" customHeight="1" x14ac:dyDescent="0.2">
      <c r="A5" s="915"/>
      <c r="B5" s="920"/>
      <c r="C5" s="919"/>
      <c r="D5" s="919"/>
      <c r="E5" s="919"/>
      <c r="F5" s="919"/>
      <c r="G5" s="919"/>
      <c r="H5" s="919"/>
    </row>
    <row r="6" spans="1:8" ht="15" x14ac:dyDescent="0.25">
      <c r="A6" s="11"/>
      <c r="B6" s="59" t="s">
        <v>54</v>
      </c>
      <c r="C6" s="11"/>
      <c r="D6" s="11"/>
      <c r="E6" s="11"/>
      <c r="F6" s="11"/>
      <c r="G6" s="11"/>
      <c r="H6" s="11"/>
    </row>
    <row r="7" spans="1:8" ht="15.75" x14ac:dyDescent="0.25">
      <c r="A7" s="60" t="s">
        <v>34</v>
      </c>
      <c r="B7" s="68" t="s">
        <v>55</v>
      </c>
      <c r="C7" s="11"/>
      <c r="D7" s="11"/>
      <c r="E7" s="11"/>
      <c r="F7" s="11"/>
      <c r="G7" s="11"/>
      <c r="H7" s="11"/>
    </row>
    <row r="8" spans="1:8" ht="15" x14ac:dyDescent="0.25">
      <c r="A8" s="60"/>
      <c r="B8" s="59" t="s">
        <v>70</v>
      </c>
      <c r="C8" s="11"/>
      <c r="D8" s="11"/>
      <c r="E8" s="11"/>
      <c r="F8" s="11"/>
      <c r="G8" s="11"/>
      <c r="H8" s="11"/>
    </row>
    <row r="9" spans="1:8" ht="15" x14ac:dyDescent="0.2">
      <c r="A9" s="244" t="s">
        <v>2</v>
      </c>
      <c r="B9" s="50" t="s">
        <v>613</v>
      </c>
      <c r="C9" s="182">
        <v>5000000</v>
      </c>
      <c r="D9" s="182">
        <v>5000000</v>
      </c>
      <c r="E9" s="182">
        <v>3331601</v>
      </c>
      <c r="F9" s="182">
        <v>2012064</v>
      </c>
      <c r="G9" s="183">
        <f>29500+381000</f>
        <v>410500</v>
      </c>
      <c r="H9" s="182">
        <f>F9-G9</f>
        <v>1601564</v>
      </c>
    </row>
    <row r="10" spans="1:8" ht="15" x14ac:dyDescent="0.2">
      <c r="A10" s="244" t="s">
        <v>4</v>
      </c>
      <c r="B10" s="50" t="s">
        <v>618</v>
      </c>
      <c r="C10" s="182">
        <v>2000000</v>
      </c>
      <c r="D10" s="182">
        <v>2000000</v>
      </c>
      <c r="E10" s="182">
        <v>2000000</v>
      </c>
      <c r="F10" s="182">
        <f t="shared" ref="F10:F16" si="0">E10</f>
        <v>2000000</v>
      </c>
      <c r="G10" s="183">
        <v>1718447</v>
      </c>
      <c r="H10" s="182">
        <f t="shared" ref="H10:H40" si="1">F10-G10</f>
        <v>281553</v>
      </c>
    </row>
    <row r="11" spans="1:8" ht="15" x14ac:dyDescent="0.2">
      <c r="A11" s="244" t="s">
        <v>5</v>
      </c>
      <c r="B11" s="50" t="s">
        <v>567</v>
      </c>
      <c r="C11" s="54">
        <v>700000</v>
      </c>
      <c r="D11" s="54">
        <v>700000</v>
      </c>
      <c r="E11" s="54">
        <v>700000</v>
      </c>
      <c r="F11" s="182">
        <f t="shared" si="0"/>
        <v>700000</v>
      </c>
      <c r="G11" s="668"/>
      <c r="H11" s="182">
        <f t="shared" si="1"/>
        <v>700000</v>
      </c>
    </row>
    <row r="12" spans="1:8" ht="15" x14ac:dyDescent="0.2">
      <c r="A12" s="244" t="s">
        <v>6</v>
      </c>
      <c r="B12" s="50" t="s">
        <v>584</v>
      </c>
      <c r="C12" s="184">
        <v>1905000</v>
      </c>
      <c r="D12" s="184">
        <v>1905000</v>
      </c>
      <c r="E12" s="184">
        <v>1905000</v>
      </c>
      <c r="F12" s="182">
        <f t="shared" si="0"/>
        <v>1905000</v>
      </c>
      <c r="G12" s="669"/>
      <c r="H12" s="182">
        <f t="shared" si="1"/>
        <v>1905000</v>
      </c>
    </row>
    <row r="13" spans="1:8" ht="15" x14ac:dyDescent="0.2">
      <c r="A13" s="244" t="s">
        <v>8</v>
      </c>
      <c r="B13" s="50" t="s">
        <v>585</v>
      </c>
      <c r="C13" s="54">
        <v>500000</v>
      </c>
      <c r="D13" s="54">
        <v>500000</v>
      </c>
      <c r="E13" s="54">
        <v>500000</v>
      </c>
      <c r="F13" s="182">
        <f t="shared" si="0"/>
        <v>500000</v>
      </c>
      <c r="G13" s="668">
        <v>437576</v>
      </c>
      <c r="H13" s="182">
        <f t="shared" si="1"/>
        <v>62424</v>
      </c>
    </row>
    <row r="14" spans="1:8" ht="15" x14ac:dyDescent="0.2">
      <c r="A14" s="244" t="s">
        <v>21</v>
      </c>
      <c r="B14" s="50" t="s">
        <v>586</v>
      </c>
      <c r="C14" s="184">
        <v>203646900</v>
      </c>
      <c r="D14" s="184">
        <f>C14-47879000+14404534-5192500+3923360</f>
        <v>168903294</v>
      </c>
      <c r="E14" s="184">
        <v>172962716</v>
      </c>
      <c r="F14" s="182">
        <f t="shared" si="0"/>
        <v>172962716</v>
      </c>
      <c r="G14" s="669">
        <v>167238454</v>
      </c>
      <c r="H14" s="182">
        <f t="shared" si="1"/>
        <v>5724262</v>
      </c>
    </row>
    <row r="15" spans="1:8" ht="15" x14ac:dyDescent="0.2">
      <c r="A15" s="244" t="s">
        <v>17</v>
      </c>
      <c r="B15" s="50" t="s">
        <v>587</v>
      </c>
      <c r="C15" s="184">
        <v>92203675</v>
      </c>
      <c r="D15" s="184">
        <v>92203675</v>
      </c>
      <c r="E15" s="184">
        <v>92349725</v>
      </c>
      <c r="F15" s="182">
        <f t="shared" si="0"/>
        <v>92349725</v>
      </c>
      <c r="G15" s="669">
        <v>633400</v>
      </c>
      <c r="H15" s="182">
        <f t="shared" si="1"/>
        <v>91716325</v>
      </c>
    </row>
    <row r="16" spans="1:8" ht="15" x14ac:dyDescent="0.2">
      <c r="A16" s="244" t="s">
        <v>22</v>
      </c>
      <c r="B16" s="50" t="s">
        <v>588</v>
      </c>
      <c r="C16" s="184">
        <v>42545522</v>
      </c>
      <c r="D16" s="184">
        <v>42545522</v>
      </c>
      <c r="E16" s="184">
        <v>42545522</v>
      </c>
      <c r="F16" s="182">
        <f t="shared" si="0"/>
        <v>42545522</v>
      </c>
      <c r="G16" s="669">
        <v>24031956</v>
      </c>
      <c r="H16" s="182">
        <f t="shared" si="1"/>
        <v>18513566</v>
      </c>
    </row>
    <row r="17" spans="1:8" ht="15" x14ac:dyDescent="0.2">
      <c r="A17" s="244" t="s">
        <v>257</v>
      </c>
      <c r="B17" s="50" t="s">
        <v>589</v>
      </c>
      <c r="C17" s="184">
        <v>3000000</v>
      </c>
      <c r="D17" s="184">
        <v>3000000</v>
      </c>
      <c r="E17" s="184">
        <v>0</v>
      </c>
      <c r="F17" s="184"/>
      <c r="G17" s="669"/>
      <c r="H17" s="182">
        <f t="shared" si="1"/>
        <v>0</v>
      </c>
    </row>
    <row r="18" spans="1:8" ht="15" x14ac:dyDescent="0.2">
      <c r="A18" s="244" t="s">
        <v>18</v>
      </c>
      <c r="B18" s="50" t="s">
        <v>591</v>
      </c>
      <c r="C18" s="184">
        <v>308120148</v>
      </c>
      <c r="D18" s="184">
        <f>308120148+1498600</f>
        <v>309618748</v>
      </c>
      <c r="E18" s="184">
        <v>310202948</v>
      </c>
      <c r="F18" s="182">
        <f t="shared" ref="F18:F22" si="2">E18</f>
        <v>310202948</v>
      </c>
      <c r="G18" s="669">
        <v>22382196</v>
      </c>
      <c r="H18" s="182">
        <f t="shared" si="1"/>
        <v>287820752</v>
      </c>
    </row>
    <row r="19" spans="1:8" ht="15" x14ac:dyDescent="0.2">
      <c r="A19" s="244" t="s">
        <v>155</v>
      </c>
      <c r="B19" s="50" t="s">
        <v>592</v>
      </c>
      <c r="C19" s="54">
        <v>4000000</v>
      </c>
      <c r="D19" s="54">
        <v>4000000</v>
      </c>
      <c r="E19" s="54">
        <v>4000000</v>
      </c>
      <c r="F19" s="182">
        <f t="shared" si="2"/>
        <v>4000000</v>
      </c>
      <c r="G19" s="668">
        <v>1619885</v>
      </c>
      <c r="H19" s="182">
        <f t="shared" si="1"/>
        <v>2380115</v>
      </c>
    </row>
    <row r="20" spans="1:8" ht="15" x14ac:dyDescent="0.2">
      <c r="A20" s="244" t="s">
        <v>35</v>
      </c>
      <c r="B20" s="50" t="s">
        <v>593</v>
      </c>
      <c r="C20" s="54">
        <v>3556000</v>
      </c>
      <c r="D20" s="54">
        <v>3556000</v>
      </c>
      <c r="E20" s="54">
        <v>3556000</v>
      </c>
      <c r="F20" s="182">
        <f t="shared" si="2"/>
        <v>3556000</v>
      </c>
      <c r="G20" s="668"/>
      <c r="H20" s="182">
        <f t="shared" si="1"/>
        <v>3556000</v>
      </c>
    </row>
    <row r="21" spans="1:8" ht="15" x14ac:dyDescent="0.2">
      <c r="A21" s="244" t="s">
        <v>281</v>
      </c>
      <c r="B21" s="50" t="s">
        <v>594</v>
      </c>
      <c r="C21" s="54">
        <v>2100000</v>
      </c>
      <c r="D21" s="54">
        <v>2100000</v>
      </c>
      <c r="E21" s="54">
        <v>2100000</v>
      </c>
      <c r="F21" s="182">
        <f t="shared" si="2"/>
        <v>2100000</v>
      </c>
      <c r="G21" s="668">
        <v>935040</v>
      </c>
      <c r="H21" s="182">
        <f t="shared" si="1"/>
        <v>1164960</v>
      </c>
    </row>
    <row r="22" spans="1:8" ht="15" x14ac:dyDescent="0.2">
      <c r="A22" s="244" t="s">
        <v>282</v>
      </c>
      <c r="B22" s="50" t="s">
        <v>595</v>
      </c>
      <c r="C22" s="54">
        <v>1000000</v>
      </c>
      <c r="D22" s="54">
        <v>1000000</v>
      </c>
      <c r="E22" s="54">
        <v>1000000</v>
      </c>
      <c r="F22" s="182">
        <f t="shared" si="2"/>
        <v>1000000</v>
      </c>
      <c r="G22" s="668"/>
      <c r="H22" s="182">
        <f t="shared" si="1"/>
        <v>1000000</v>
      </c>
    </row>
    <row r="23" spans="1:8" ht="15" x14ac:dyDescent="0.2">
      <c r="A23" s="244" t="s">
        <v>283</v>
      </c>
      <c r="B23" s="50" t="s">
        <v>597</v>
      </c>
      <c r="C23" s="184">
        <v>27022470</v>
      </c>
      <c r="D23" s="184">
        <f>C23+453308</f>
        <v>27475778</v>
      </c>
      <c r="E23" s="184">
        <v>27475778</v>
      </c>
      <c r="F23" s="182">
        <v>28070780</v>
      </c>
      <c r="G23" s="669">
        <v>28070780</v>
      </c>
      <c r="H23" s="182">
        <f t="shared" si="1"/>
        <v>0</v>
      </c>
    </row>
    <row r="24" spans="1:8" ht="15" x14ac:dyDescent="0.2">
      <c r="A24" s="244" t="s">
        <v>219</v>
      </c>
      <c r="B24" s="50" t="s">
        <v>638</v>
      </c>
      <c r="C24" s="184">
        <v>3284000</v>
      </c>
      <c r="D24" s="184">
        <v>3284000</v>
      </c>
      <c r="E24" s="184">
        <v>2159309</v>
      </c>
      <c r="F24" s="184">
        <f>E24+[2]III.módosítás!$AR$28+[2]III.módosítás!$AR$31-4339</f>
        <v>469142</v>
      </c>
      <c r="G24" s="669">
        <v>469142</v>
      </c>
      <c r="H24" s="182">
        <f t="shared" si="1"/>
        <v>0</v>
      </c>
    </row>
    <row r="25" spans="1:8" ht="15" x14ac:dyDescent="0.2">
      <c r="A25" s="244" t="s">
        <v>297</v>
      </c>
      <c r="B25" s="50" t="s">
        <v>637</v>
      </c>
      <c r="C25" s="184">
        <v>5898630</v>
      </c>
      <c r="D25" s="184">
        <v>5898630</v>
      </c>
      <c r="E25" s="184">
        <v>5898630</v>
      </c>
      <c r="F25" s="184">
        <f>E25+[2]III.módosítás!$AR$32+[2]III.módosítás!$AR$33+4339</f>
        <v>5556505</v>
      </c>
      <c r="G25" s="669">
        <v>1257300</v>
      </c>
      <c r="H25" s="182">
        <f t="shared" si="1"/>
        <v>4299205</v>
      </c>
    </row>
    <row r="26" spans="1:8" ht="15" x14ac:dyDescent="0.2">
      <c r="A26" s="244" t="s">
        <v>298</v>
      </c>
      <c r="B26" s="50" t="s">
        <v>620</v>
      </c>
      <c r="C26" s="262">
        <v>21000000</v>
      </c>
      <c r="D26" s="262">
        <v>21000000</v>
      </c>
      <c r="E26" s="262">
        <v>21000000</v>
      </c>
      <c r="F26" s="182">
        <f t="shared" ref="F26:F37" si="3">E26</f>
        <v>21000000</v>
      </c>
      <c r="G26" s="670"/>
      <c r="H26" s="182">
        <f t="shared" si="1"/>
        <v>21000000</v>
      </c>
    </row>
    <row r="27" spans="1:8" ht="15" x14ac:dyDescent="0.2">
      <c r="A27" s="244" t="s">
        <v>763</v>
      </c>
      <c r="B27" s="50" t="s">
        <v>767</v>
      </c>
      <c r="C27" s="262"/>
      <c r="D27" s="262">
        <v>360000</v>
      </c>
      <c r="E27" s="262">
        <v>360000</v>
      </c>
      <c r="F27" s="182">
        <f t="shared" si="3"/>
        <v>360000</v>
      </c>
      <c r="G27" s="670">
        <v>360000</v>
      </c>
      <c r="H27" s="182">
        <f t="shared" si="1"/>
        <v>0</v>
      </c>
    </row>
    <row r="28" spans="1:8" ht="15" x14ac:dyDescent="0.2">
      <c r="A28" s="244" t="s">
        <v>764</v>
      </c>
      <c r="B28" s="50" t="s">
        <v>768</v>
      </c>
      <c r="C28" s="262"/>
      <c r="D28" s="262">
        <v>20648295</v>
      </c>
      <c r="E28" s="262">
        <v>16588873</v>
      </c>
      <c r="F28" s="182">
        <f t="shared" si="3"/>
        <v>16588873</v>
      </c>
      <c r="G28" s="670">
        <v>16588873</v>
      </c>
      <c r="H28" s="182">
        <f t="shared" si="1"/>
        <v>0</v>
      </c>
    </row>
    <row r="29" spans="1:8" ht="15" x14ac:dyDescent="0.2">
      <c r="A29" s="244" t="s">
        <v>765</v>
      </c>
      <c r="B29" s="50" t="s">
        <v>831</v>
      </c>
      <c r="C29" s="262"/>
      <c r="D29" s="262">
        <v>1022350</v>
      </c>
      <c r="E29" s="262">
        <v>1022350</v>
      </c>
      <c r="F29" s="182">
        <v>406400</v>
      </c>
      <c r="G29" s="670">
        <v>406400</v>
      </c>
      <c r="H29" s="182">
        <f t="shared" si="1"/>
        <v>0</v>
      </c>
    </row>
    <row r="30" spans="1:8" ht="15" x14ac:dyDescent="0.2">
      <c r="A30" s="244" t="s">
        <v>766</v>
      </c>
      <c r="B30" s="50" t="s">
        <v>769</v>
      </c>
      <c r="C30" s="262"/>
      <c r="D30" s="262">
        <v>236370</v>
      </c>
      <c r="E30" s="262">
        <v>236370</v>
      </c>
      <c r="F30" s="182">
        <f t="shared" si="3"/>
        <v>236370</v>
      </c>
      <c r="G30" s="670">
        <v>236370</v>
      </c>
      <c r="H30" s="182">
        <f t="shared" si="1"/>
        <v>0</v>
      </c>
    </row>
    <row r="31" spans="1:8" ht="15" x14ac:dyDescent="0.2">
      <c r="A31" s="244" t="s">
        <v>804</v>
      </c>
      <c r="B31" s="483" t="s">
        <v>824</v>
      </c>
      <c r="C31" s="262"/>
      <c r="D31" s="262"/>
      <c r="E31" s="262">
        <v>176600</v>
      </c>
      <c r="F31" s="182">
        <f t="shared" si="3"/>
        <v>176600</v>
      </c>
      <c r="G31" s="670">
        <v>176600</v>
      </c>
      <c r="H31" s="182">
        <f t="shared" si="1"/>
        <v>0</v>
      </c>
    </row>
    <row r="32" spans="1:8" ht="15" x14ac:dyDescent="0.2">
      <c r="A32" s="244" t="s">
        <v>805</v>
      </c>
      <c r="B32" s="483" t="s">
        <v>823</v>
      </c>
      <c r="C32" s="262"/>
      <c r="D32" s="262"/>
      <c r="E32" s="262">
        <v>147440</v>
      </c>
      <c r="F32" s="182">
        <f t="shared" si="3"/>
        <v>147440</v>
      </c>
      <c r="G32" s="670">
        <v>147440</v>
      </c>
      <c r="H32" s="182">
        <f t="shared" si="1"/>
        <v>0</v>
      </c>
    </row>
    <row r="33" spans="1:8" ht="15" x14ac:dyDescent="0.2">
      <c r="A33" s="244" t="s">
        <v>806</v>
      </c>
      <c r="B33" s="483" t="s">
        <v>807</v>
      </c>
      <c r="C33" s="262"/>
      <c r="D33" s="262"/>
      <c r="E33" s="262">
        <v>1001441</v>
      </c>
      <c r="F33" s="182">
        <f t="shared" si="3"/>
        <v>1001441</v>
      </c>
      <c r="G33" s="670">
        <v>1001441</v>
      </c>
      <c r="H33" s="182">
        <f t="shared" si="1"/>
        <v>0</v>
      </c>
    </row>
    <row r="34" spans="1:8" ht="15" x14ac:dyDescent="0.2">
      <c r="A34" s="244" t="s">
        <v>808</v>
      </c>
      <c r="B34" s="483" t="s">
        <v>809</v>
      </c>
      <c r="C34" s="262"/>
      <c r="D34" s="262"/>
      <c r="E34" s="262">
        <v>58266</v>
      </c>
      <c r="F34" s="182">
        <f t="shared" si="3"/>
        <v>58266</v>
      </c>
      <c r="G34" s="670">
        <v>58266</v>
      </c>
      <c r="H34" s="182">
        <f t="shared" si="1"/>
        <v>0</v>
      </c>
    </row>
    <row r="35" spans="1:8" ht="15" x14ac:dyDescent="0.2">
      <c r="A35" s="244" t="s">
        <v>810</v>
      </c>
      <c r="B35" s="483" t="s">
        <v>811</v>
      </c>
      <c r="C35" s="262"/>
      <c r="D35" s="262"/>
      <c r="E35" s="262">
        <v>56999</v>
      </c>
      <c r="F35" s="182">
        <f t="shared" si="3"/>
        <v>56999</v>
      </c>
      <c r="G35" s="670">
        <v>56999</v>
      </c>
      <c r="H35" s="182">
        <f t="shared" si="1"/>
        <v>0</v>
      </c>
    </row>
    <row r="36" spans="1:8" ht="15" x14ac:dyDescent="0.2">
      <c r="A36" s="244" t="s">
        <v>812</v>
      </c>
      <c r="B36" s="50" t="s">
        <v>815</v>
      </c>
      <c r="C36" s="262"/>
      <c r="D36" s="262"/>
      <c r="E36" s="262">
        <v>317500</v>
      </c>
      <c r="F36" s="182">
        <f t="shared" si="3"/>
        <v>317500</v>
      </c>
      <c r="G36" s="670"/>
      <c r="H36" s="182">
        <f t="shared" si="1"/>
        <v>317500</v>
      </c>
    </row>
    <row r="37" spans="1:8" ht="15" x14ac:dyDescent="0.2">
      <c r="A37" s="244" t="s">
        <v>813</v>
      </c>
      <c r="B37" s="50" t="s">
        <v>816</v>
      </c>
      <c r="C37" s="262"/>
      <c r="D37" s="262"/>
      <c r="E37" s="262">
        <v>2000000</v>
      </c>
      <c r="F37" s="182">
        <f t="shared" si="3"/>
        <v>2000000</v>
      </c>
      <c r="G37" s="670"/>
      <c r="H37" s="182">
        <f t="shared" si="1"/>
        <v>2000000</v>
      </c>
    </row>
    <row r="38" spans="1:8" ht="15" x14ac:dyDescent="0.2">
      <c r="A38" s="244" t="s">
        <v>814</v>
      </c>
      <c r="B38" s="50" t="s">
        <v>828</v>
      </c>
      <c r="C38" s="262"/>
      <c r="D38" s="262"/>
      <c r="E38" s="262"/>
      <c r="F38" s="262">
        <f>[2]III.módosítás!$AR$25</f>
        <v>65000</v>
      </c>
      <c r="G38" s="670">
        <v>65000</v>
      </c>
      <c r="H38" s="182">
        <f t="shared" si="1"/>
        <v>0</v>
      </c>
    </row>
    <row r="39" spans="1:8" ht="15" x14ac:dyDescent="0.2">
      <c r="A39" s="244" t="s">
        <v>825</v>
      </c>
      <c r="B39" s="50" t="s">
        <v>829</v>
      </c>
      <c r="C39" s="262"/>
      <c r="D39" s="262"/>
      <c r="E39" s="262"/>
      <c r="F39" s="262">
        <f>[2]III.módosítás!$AR$27</f>
        <v>86944</v>
      </c>
      <c r="G39" s="670">
        <v>86944</v>
      </c>
      <c r="H39" s="182">
        <f t="shared" si="1"/>
        <v>0</v>
      </c>
    </row>
    <row r="40" spans="1:8" ht="15" x14ac:dyDescent="0.2">
      <c r="A40" s="244" t="s">
        <v>826</v>
      </c>
      <c r="B40" s="50"/>
      <c r="C40" s="262"/>
      <c r="D40" s="262"/>
      <c r="E40" s="262"/>
      <c r="F40" s="262"/>
      <c r="G40" s="670"/>
      <c r="H40" s="182">
        <f t="shared" si="1"/>
        <v>0</v>
      </c>
    </row>
    <row r="41" spans="1:8" ht="15.75" x14ac:dyDescent="0.25">
      <c r="A41" s="921" t="s">
        <v>71</v>
      </c>
      <c r="B41" s="922"/>
      <c r="C41" s="178">
        <f t="shared" ref="C41:H41" si="4">SUM(C9:C40)</f>
        <v>727482345</v>
      </c>
      <c r="D41" s="178">
        <f t="shared" si="4"/>
        <v>716957662</v>
      </c>
      <c r="E41" s="178">
        <f t="shared" si="4"/>
        <v>715653068</v>
      </c>
      <c r="F41" s="178">
        <f t="shared" si="4"/>
        <v>712432235</v>
      </c>
      <c r="G41" s="671">
        <f t="shared" si="4"/>
        <v>268389009</v>
      </c>
      <c r="H41" s="178">
        <f t="shared" si="4"/>
        <v>444043226</v>
      </c>
    </row>
    <row r="42" spans="1:8" ht="15" customHeight="1" x14ac:dyDescent="0.25">
      <c r="A42" s="122"/>
      <c r="B42" s="67" t="s">
        <v>74</v>
      </c>
      <c r="C42" s="39"/>
      <c r="D42" s="39"/>
      <c r="E42" s="39"/>
      <c r="F42" s="39"/>
      <c r="G42" s="672"/>
      <c r="H42" s="182">
        <f t="shared" ref="H42:H72" si="5">F42-G42</f>
        <v>0</v>
      </c>
    </row>
    <row r="43" spans="1:8" ht="16.5" customHeight="1" x14ac:dyDescent="0.2">
      <c r="A43" s="122" t="s">
        <v>2</v>
      </c>
      <c r="B43" s="50" t="s">
        <v>598</v>
      </c>
      <c r="C43" s="39">
        <v>700000</v>
      </c>
      <c r="D43" s="39">
        <v>700000</v>
      </c>
      <c r="E43" s="39">
        <v>700000</v>
      </c>
      <c r="F43" s="39">
        <v>943850</v>
      </c>
      <c r="G43" s="672">
        <v>943850</v>
      </c>
      <c r="H43" s="182">
        <f t="shared" si="5"/>
        <v>0</v>
      </c>
    </row>
    <row r="44" spans="1:8" ht="15" x14ac:dyDescent="0.2">
      <c r="A44" s="122" t="s">
        <v>4</v>
      </c>
      <c r="B44" s="50" t="s">
        <v>832</v>
      </c>
      <c r="C44" s="39">
        <v>300000</v>
      </c>
      <c r="D44" s="39">
        <v>300000</v>
      </c>
      <c r="E44" s="39">
        <v>641565</v>
      </c>
      <c r="F44" s="39">
        <v>828705</v>
      </c>
      <c r="G44" s="672">
        <v>483805</v>
      </c>
      <c r="H44" s="182">
        <f t="shared" si="5"/>
        <v>344900</v>
      </c>
    </row>
    <row r="45" spans="1:8" ht="15.75" x14ac:dyDescent="0.25">
      <c r="A45" s="122"/>
      <c r="B45" s="243" t="s">
        <v>258</v>
      </c>
      <c r="C45" s="177">
        <f>SUM(C43:C44)</f>
        <v>1000000</v>
      </c>
      <c r="D45" s="177">
        <f>SUM(D43:D44)</f>
        <v>1000000</v>
      </c>
      <c r="E45" s="177">
        <f>SUM(E43:E44)</f>
        <v>1341565</v>
      </c>
      <c r="F45" s="177">
        <f>SUM(F43:F44)</f>
        <v>1772555</v>
      </c>
      <c r="G45" s="177">
        <f>SUM(G43:G44)</f>
        <v>1427655</v>
      </c>
      <c r="H45" s="177">
        <f t="shared" si="5"/>
        <v>344900</v>
      </c>
    </row>
    <row r="46" spans="1:8" ht="15.75" x14ac:dyDescent="0.25">
      <c r="A46" s="122"/>
      <c r="B46" s="67" t="s">
        <v>341</v>
      </c>
      <c r="C46" s="185"/>
      <c r="D46" s="185"/>
      <c r="E46" s="185"/>
      <c r="F46" s="185"/>
      <c r="G46" s="185"/>
      <c r="H46" s="182">
        <f t="shared" si="5"/>
        <v>0</v>
      </c>
    </row>
    <row r="47" spans="1:8" ht="15" x14ac:dyDescent="0.2">
      <c r="A47" s="122" t="s">
        <v>2</v>
      </c>
      <c r="B47" s="120" t="s">
        <v>568</v>
      </c>
      <c r="C47" s="182">
        <v>1000000</v>
      </c>
      <c r="D47" s="182">
        <v>1000000</v>
      </c>
      <c r="E47" s="182">
        <v>1000000</v>
      </c>
      <c r="F47" s="182"/>
      <c r="G47" s="182"/>
      <c r="H47" s="182">
        <f t="shared" si="5"/>
        <v>0</v>
      </c>
    </row>
    <row r="48" spans="1:8" ht="15" x14ac:dyDescent="0.2">
      <c r="A48" s="122" t="s">
        <v>4</v>
      </c>
      <c r="B48" s="120" t="s">
        <v>834</v>
      </c>
      <c r="C48" s="182">
        <v>150000</v>
      </c>
      <c r="D48" s="182">
        <v>150000</v>
      </c>
      <c r="E48" s="182">
        <v>150000</v>
      </c>
      <c r="F48" s="182">
        <v>101000</v>
      </c>
      <c r="G48" s="182">
        <v>37670</v>
      </c>
      <c r="H48" s="182">
        <f t="shared" si="5"/>
        <v>63330</v>
      </c>
    </row>
    <row r="49" spans="1:8" ht="15" x14ac:dyDescent="0.2">
      <c r="A49" s="122" t="s">
        <v>5</v>
      </c>
      <c r="B49" s="120" t="s">
        <v>600</v>
      </c>
      <c r="C49" s="182">
        <v>250000</v>
      </c>
      <c r="D49" s="182">
        <v>250000</v>
      </c>
      <c r="E49" s="182">
        <v>250000</v>
      </c>
      <c r="F49" s="182">
        <v>420000</v>
      </c>
      <c r="G49" s="182">
        <v>420000</v>
      </c>
      <c r="H49" s="182">
        <f t="shared" si="5"/>
        <v>0</v>
      </c>
    </row>
    <row r="50" spans="1:8" ht="15" x14ac:dyDescent="0.2">
      <c r="A50" s="122" t="s">
        <v>6</v>
      </c>
      <c r="B50" s="120" t="s">
        <v>601</v>
      </c>
      <c r="C50" s="182">
        <v>150000</v>
      </c>
      <c r="D50" s="182">
        <v>150000</v>
      </c>
      <c r="E50" s="182">
        <v>150000</v>
      </c>
      <c r="F50" s="182"/>
      <c r="G50" s="182"/>
      <c r="H50" s="182">
        <f t="shared" si="5"/>
        <v>0</v>
      </c>
    </row>
    <row r="51" spans="1:8" ht="15" x14ac:dyDescent="0.2">
      <c r="A51" s="122" t="s">
        <v>8</v>
      </c>
      <c r="B51" s="120" t="s">
        <v>602</v>
      </c>
      <c r="C51" s="182">
        <v>150000</v>
      </c>
      <c r="D51" s="182">
        <v>150000</v>
      </c>
      <c r="E51" s="182">
        <v>150000</v>
      </c>
      <c r="F51" s="182"/>
      <c r="G51" s="182"/>
      <c r="H51" s="182">
        <f t="shared" si="5"/>
        <v>0</v>
      </c>
    </row>
    <row r="52" spans="1:8" ht="15" x14ac:dyDescent="0.2">
      <c r="A52" s="122" t="s">
        <v>21</v>
      </c>
      <c r="B52" s="120" t="s">
        <v>833</v>
      </c>
      <c r="C52" s="182">
        <v>70000</v>
      </c>
      <c r="D52" s="182">
        <v>70000</v>
      </c>
      <c r="E52" s="182">
        <v>70000</v>
      </c>
      <c r="F52" s="182">
        <v>169000</v>
      </c>
      <c r="G52" s="182">
        <f>15199+125730+28000</f>
        <v>168929</v>
      </c>
      <c r="H52" s="182">
        <f t="shared" si="5"/>
        <v>71</v>
      </c>
    </row>
    <row r="53" spans="1:8" ht="15" x14ac:dyDescent="0.2">
      <c r="A53" s="122" t="s">
        <v>17</v>
      </c>
      <c r="B53" s="120" t="s">
        <v>603</v>
      </c>
      <c r="C53" s="182">
        <v>150000</v>
      </c>
      <c r="D53" s="182">
        <v>150000</v>
      </c>
      <c r="E53" s="182">
        <v>150000</v>
      </c>
      <c r="F53" s="182">
        <v>10000</v>
      </c>
      <c r="G53" s="182">
        <v>8990</v>
      </c>
      <c r="H53" s="182">
        <f t="shared" si="5"/>
        <v>1010</v>
      </c>
    </row>
    <row r="54" spans="1:8" ht="15" x14ac:dyDescent="0.2">
      <c r="A54" s="122" t="s">
        <v>22</v>
      </c>
      <c r="B54" s="120" t="s">
        <v>604</v>
      </c>
      <c r="C54" s="182">
        <v>100000</v>
      </c>
      <c r="D54" s="182">
        <v>100000</v>
      </c>
      <c r="E54" s="182">
        <v>100000</v>
      </c>
      <c r="F54" s="182"/>
      <c r="G54" s="182"/>
      <c r="H54" s="182">
        <f t="shared" si="5"/>
        <v>0</v>
      </c>
    </row>
    <row r="55" spans="1:8" ht="15" x14ac:dyDescent="0.2">
      <c r="A55" s="122" t="s">
        <v>257</v>
      </c>
      <c r="B55" s="120" t="s">
        <v>605</v>
      </c>
      <c r="C55" s="182">
        <v>180000</v>
      </c>
      <c r="D55" s="182">
        <v>180000</v>
      </c>
      <c r="E55" s="182">
        <v>180000</v>
      </c>
      <c r="F55" s="182"/>
      <c r="G55" s="182"/>
      <c r="H55" s="182">
        <f t="shared" si="5"/>
        <v>0</v>
      </c>
    </row>
    <row r="56" spans="1:8" ht="15.75" x14ac:dyDescent="0.25">
      <c r="A56" s="245"/>
      <c r="B56" s="242" t="s">
        <v>540</v>
      </c>
      <c r="C56" s="241">
        <f>SUM(C47:C55)</f>
        <v>2200000</v>
      </c>
      <c r="D56" s="241">
        <f>SUM(D47:D55)</f>
        <v>2200000</v>
      </c>
      <c r="E56" s="241">
        <f>SUM(E47:E55)</f>
        <v>2200000</v>
      </c>
      <c r="F56" s="241">
        <f>SUM(F47:F55)</f>
        <v>700000</v>
      </c>
      <c r="G56" s="241">
        <f>SUM(G47:G55)</f>
        <v>635589</v>
      </c>
      <c r="H56" s="177">
        <f t="shared" si="5"/>
        <v>64411</v>
      </c>
    </row>
    <row r="57" spans="1:8" ht="15.75" x14ac:dyDescent="0.25">
      <c r="A57" s="60"/>
      <c r="B57" s="67" t="s">
        <v>331</v>
      </c>
      <c r="C57" s="185"/>
      <c r="D57" s="185"/>
      <c r="E57" s="185"/>
      <c r="F57" s="185"/>
      <c r="G57" s="185"/>
      <c r="H57" s="182">
        <f t="shared" si="5"/>
        <v>0</v>
      </c>
    </row>
    <row r="58" spans="1:8" ht="15" x14ac:dyDescent="0.2">
      <c r="A58" s="122" t="s">
        <v>2</v>
      </c>
      <c r="B58" s="120" t="s">
        <v>599</v>
      </c>
      <c r="C58" s="374">
        <v>19963948</v>
      </c>
      <c r="D58" s="374">
        <v>19963948</v>
      </c>
      <c r="E58" s="374">
        <f>19963948+7650137</f>
        <v>27614085</v>
      </c>
      <c r="F58" s="374">
        <v>24512240</v>
      </c>
      <c r="G58" s="374">
        <f>12836938+102855</f>
        <v>12939793</v>
      </c>
      <c r="H58" s="182">
        <f t="shared" si="5"/>
        <v>11572447</v>
      </c>
    </row>
    <row r="59" spans="1:8" ht="15" x14ac:dyDescent="0.2">
      <c r="A59" s="122" t="s">
        <v>4</v>
      </c>
      <c r="B59" s="120" t="s">
        <v>606</v>
      </c>
      <c r="C59" s="182">
        <v>300000</v>
      </c>
      <c r="D59" s="182">
        <v>300000</v>
      </c>
      <c r="E59" s="182">
        <v>300000</v>
      </c>
      <c r="F59" s="182"/>
      <c r="G59" s="182"/>
      <c r="H59" s="182">
        <f t="shared" si="5"/>
        <v>0</v>
      </c>
    </row>
    <row r="60" spans="1:8" ht="15" x14ac:dyDescent="0.2">
      <c r="A60" s="122" t="s">
        <v>5</v>
      </c>
      <c r="B60" s="120" t="s">
        <v>607</v>
      </c>
      <c r="C60" s="182">
        <v>250000</v>
      </c>
      <c r="D60" s="182">
        <v>250000</v>
      </c>
      <c r="E60" s="182">
        <v>250000</v>
      </c>
      <c r="F60" s="182"/>
      <c r="G60" s="182"/>
      <c r="H60" s="182">
        <f t="shared" si="5"/>
        <v>0</v>
      </c>
    </row>
    <row r="61" spans="1:8" ht="15" x14ac:dyDescent="0.2">
      <c r="A61" s="122" t="s">
        <v>6</v>
      </c>
      <c r="B61" s="120" t="s">
        <v>835</v>
      </c>
      <c r="C61" s="182">
        <v>80000</v>
      </c>
      <c r="D61" s="182">
        <v>80000</v>
      </c>
      <c r="E61" s="182">
        <v>80000</v>
      </c>
      <c r="F61" s="182">
        <v>1005000</v>
      </c>
      <c r="G61" s="182">
        <v>1004501</v>
      </c>
      <c r="H61" s="182">
        <f t="shared" si="5"/>
        <v>499</v>
      </c>
    </row>
    <row r="62" spans="1:8" ht="15" x14ac:dyDescent="0.2">
      <c r="A62" s="122" t="s">
        <v>8</v>
      </c>
      <c r="B62" s="120" t="s">
        <v>608</v>
      </c>
      <c r="C62" s="182">
        <v>300000</v>
      </c>
      <c r="D62" s="182">
        <v>300000</v>
      </c>
      <c r="E62" s="182">
        <v>300000</v>
      </c>
      <c r="F62" s="182">
        <v>5000</v>
      </c>
      <c r="G62" s="182">
        <v>4999</v>
      </c>
      <c r="H62" s="182">
        <f t="shared" si="5"/>
        <v>1</v>
      </c>
    </row>
    <row r="63" spans="1:8" ht="15" x14ac:dyDescent="0.2">
      <c r="A63" s="122" t="s">
        <v>21</v>
      </c>
      <c r="B63" s="120" t="s">
        <v>609</v>
      </c>
      <c r="C63" s="182">
        <v>100000</v>
      </c>
      <c r="D63" s="182">
        <v>100000</v>
      </c>
      <c r="E63" s="182">
        <v>100000</v>
      </c>
      <c r="F63" s="182"/>
      <c r="G63" s="182"/>
      <c r="H63" s="182">
        <f t="shared" si="5"/>
        <v>0</v>
      </c>
    </row>
    <row r="64" spans="1:8" ht="15" x14ac:dyDescent="0.2">
      <c r="A64" s="122" t="s">
        <v>17</v>
      </c>
      <c r="B64" s="120" t="s">
        <v>836</v>
      </c>
      <c r="C64" s="182">
        <v>180000</v>
      </c>
      <c r="D64" s="182">
        <v>180000</v>
      </c>
      <c r="E64" s="182">
        <v>180000</v>
      </c>
      <c r="F64" s="182">
        <v>488000</v>
      </c>
      <c r="G64" s="182">
        <v>487270</v>
      </c>
      <c r="H64" s="182">
        <f t="shared" si="5"/>
        <v>730</v>
      </c>
    </row>
    <row r="65" spans="1:8" ht="15" x14ac:dyDescent="0.2">
      <c r="A65" s="122" t="s">
        <v>22</v>
      </c>
      <c r="B65" s="120" t="s">
        <v>610</v>
      </c>
      <c r="C65" s="182">
        <v>90000</v>
      </c>
      <c r="D65" s="182">
        <v>90000</v>
      </c>
      <c r="E65" s="182">
        <v>90000</v>
      </c>
      <c r="F65" s="182"/>
      <c r="G65" s="182"/>
      <c r="H65" s="182">
        <f t="shared" si="5"/>
        <v>0</v>
      </c>
    </row>
    <row r="66" spans="1:8" ht="15" x14ac:dyDescent="0.2">
      <c r="A66" s="122" t="s">
        <v>257</v>
      </c>
      <c r="B66" s="120" t="s">
        <v>837</v>
      </c>
      <c r="C66" s="182"/>
      <c r="D66" s="182"/>
      <c r="E66" s="182"/>
      <c r="F66" s="182">
        <v>67310</v>
      </c>
      <c r="G66" s="182">
        <v>67310</v>
      </c>
      <c r="H66" s="182">
        <f t="shared" ref="H66" si="6">F66-G66</f>
        <v>0</v>
      </c>
    </row>
    <row r="67" spans="1:8" ht="15" x14ac:dyDescent="0.2">
      <c r="A67" s="122">
        <v>10</v>
      </c>
      <c r="B67" s="120" t="s">
        <v>770</v>
      </c>
      <c r="C67" s="182"/>
      <c r="D67" s="182">
        <v>1796155</v>
      </c>
      <c r="E67" s="182">
        <v>1796155</v>
      </c>
      <c r="F67" s="182">
        <v>3632690</v>
      </c>
      <c r="G67" s="182">
        <v>1801400</v>
      </c>
      <c r="H67" s="182">
        <f t="shared" si="5"/>
        <v>1831290</v>
      </c>
    </row>
    <row r="68" spans="1:8" ht="15.75" x14ac:dyDescent="0.25">
      <c r="A68" s="122"/>
      <c r="B68" s="242" t="s">
        <v>541</v>
      </c>
      <c r="C68" s="241">
        <f>SUM(C58:C65)</f>
        <v>21263948</v>
      </c>
      <c r="D68" s="241">
        <f>SUM(D58:D67)</f>
        <v>23060103</v>
      </c>
      <c r="E68" s="241">
        <f>SUM(E58:E67)</f>
        <v>30710240</v>
      </c>
      <c r="F68" s="241">
        <f>SUM(F58:F67)</f>
        <v>29710240</v>
      </c>
      <c r="G68" s="241">
        <f>SUM(G58:G67)</f>
        <v>16305273</v>
      </c>
      <c r="H68" s="485">
        <f t="shared" si="5"/>
        <v>13404967</v>
      </c>
    </row>
    <row r="69" spans="1:8" ht="15.75" x14ac:dyDescent="0.25">
      <c r="A69" s="248"/>
      <c r="B69" s="243" t="s">
        <v>58</v>
      </c>
      <c r="C69" s="177">
        <f>C41+C45+C56+C68</f>
        <v>751946293</v>
      </c>
      <c r="D69" s="177">
        <f>D41+D45+D56+D68</f>
        <v>743217765</v>
      </c>
      <c r="E69" s="177">
        <f>E41+E45+E56+E68</f>
        <v>749904873</v>
      </c>
      <c r="F69" s="177">
        <f>F41+F45+F56+F68</f>
        <v>744615030</v>
      </c>
      <c r="G69" s="177">
        <f>G41+G45+G56+G68</f>
        <v>286757526</v>
      </c>
      <c r="H69" s="177">
        <f t="shared" si="5"/>
        <v>457857504</v>
      </c>
    </row>
    <row r="70" spans="1:8" ht="20.25" customHeight="1" x14ac:dyDescent="0.25">
      <c r="A70" s="60" t="s">
        <v>254</v>
      </c>
      <c r="B70" s="119" t="s">
        <v>79</v>
      </c>
      <c r="C70" s="118"/>
      <c r="D70" s="118"/>
      <c r="E70" s="118"/>
      <c r="F70" s="118"/>
      <c r="G70" s="118"/>
      <c r="H70" s="182"/>
    </row>
    <row r="71" spans="1:8" ht="18" customHeight="1" x14ac:dyDescent="0.25">
      <c r="A71" s="122"/>
      <c r="B71" s="67" t="s">
        <v>255</v>
      </c>
      <c r="C71" s="118"/>
      <c r="D71" s="118"/>
      <c r="E71" s="118"/>
      <c r="F71" s="118"/>
      <c r="G71" s="118"/>
      <c r="H71" s="182"/>
    </row>
    <row r="72" spans="1:8" ht="16.5" customHeight="1" x14ac:dyDescent="0.2">
      <c r="A72" s="122" t="s">
        <v>2</v>
      </c>
      <c r="B72" s="120" t="s">
        <v>619</v>
      </c>
      <c r="C72" s="118">
        <v>3000000</v>
      </c>
      <c r="D72" s="118">
        <v>3000000</v>
      </c>
      <c r="E72" s="118">
        <f>3000000-924845</f>
        <v>2075155</v>
      </c>
      <c r="F72" s="118">
        <f>3000000-924845</f>
        <v>2075155</v>
      </c>
      <c r="G72" s="118">
        <v>80000</v>
      </c>
      <c r="H72" s="182">
        <f t="shared" si="5"/>
        <v>1995155</v>
      </c>
    </row>
    <row r="73" spans="1:8" ht="16.5" customHeight="1" x14ac:dyDescent="0.2">
      <c r="A73" s="122" t="s">
        <v>4</v>
      </c>
      <c r="B73" s="50" t="s">
        <v>342</v>
      </c>
      <c r="C73" s="351">
        <v>584750</v>
      </c>
      <c r="D73" s="351">
        <v>584750</v>
      </c>
      <c r="E73" s="351">
        <v>584750</v>
      </c>
      <c r="F73" s="351">
        <v>6126822</v>
      </c>
      <c r="G73" s="351">
        <v>6126822</v>
      </c>
      <c r="H73" s="182">
        <f t="shared" ref="H73:H77" si="7">F73-G73</f>
        <v>0</v>
      </c>
    </row>
    <row r="74" spans="1:8" ht="16.5" customHeight="1" x14ac:dyDescent="0.2">
      <c r="A74" s="122" t="s">
        <v>5</v>
      </c>
      <c r="B74" s="50" t="s">
        <v>569</v>
      </c>
      <c r="C74" s="118">
        <v>6000000</v>
      </c>
      <c r="D74" s="118">
        <v>6000000</v>
      </c>
      <c r="E74" s="118">
        <v>6000000</v>
      </c>
      <c r="F74" s="118">
        <v>5936500</v>
      </c>
      <c r="G74" s="118"/>
      <c r="H74" s="182">
        <f t="shared" si="7"/>
        <v>5936500</v>
      </c>
    </row>
    <row r="75" spans="1:8" ht="15" x14ac:dyDescent="0.2">
      <c r="A75" s="122" t="s">
        <v>6</v>
      </c>
      <c r="B75" s="50" t="s">
        <v>590</v>
      </c>
      <c r="C75" s="375">
        <v>14258926</v>
      </c>
      <c r="D75" s="375">
        <f>14258926+3075915</f>
        <v>17334841</v>
      </c>
      <c r="E75" s="375">
        <f>14258926+3075915</f>
        <v>17334841</v>
      </c>
      <c r="F75" s="375">
        <f>14258926+3075915</f>
        <v>17334841</v>
      </c>
      <c r="G75" s="375"/>
      <c r="H75" s="182">
        <f t="shared" si="7"/>
        <v>17334841</v>
      </c>
    </row>
    <row r="76" spans="1:8" ht="15" x14ac:dyDescent="0.2">
      <c r="A76" s="122" t="s">
        <v>8</v>
      </c>
      <c r="B76" s="50" t="s">
        <v>596</v>
      </c>
      <c r="C76" s="118">
        <v>9000000</v>
      </c>
      <c r="D76" s="118">
        <v>9000000</v>
      </c>
      <c r="E76" s="118">
        <v>9000000</v>
      </c>
      <c r="F76" s="118">
        <v>9000000</v>
      </c>
      <c r="G76" s="118"/>
      <c r="H76" s="182">
        <f t="shared" si="7"/>
        <v>9000000</v>
      </c>
    </row>
    <row r="77" spans="1:8" ht="15" x14ac:dyDescent="0.2">
      <c r="A77" s="122" t="s">
        <v>21</v>
      </c>
      <c r="B77" s="50" t="s">
        <v>817</v>
      </c>
      <c r="C77" s="118"/>
      <c r="D77" s="118"/>
      <c r="E77" s="118">
        <v>1124691</v>
      </c>
      <c r="F77" s="118">
        <f>E77+[2]III.módosítás!$AS$28+[2]III.módosítás!$AS$31+[2]III.módosítás!$AS$32+[2]III.módosítás!$AS$33</f>
        <v>3221725</v>
      </c>
      <c r="G77" s="118">
        <v>3221725</v>
      </c>
      <c r="H77" s="182">
        <f t="shared" si="7"/>
        <v>0</v>
      </c>
    </row>
    <row r="78" spans="1:8" ht="15" x14ac:dyDescent="0.2">
      <c r="A78" s="122" t="s">
        <v>17</v>
      </c>
      <c r="B78" s="50" t="s">
        <v>830</v>
      </c>
      <c r="C78" s="118"/>
      <c r="D78" s="118"/>
      <c r="E78" s="118"/>
      <c r="F78" s="118">
        <v>63500</v>
      </c>
      <c r="G78" s="118">
        <v>63500</v>
      </c>
      <c r="H78" s="182"/>
    </row>
    <row r="79" spans="1:8" ht="20.100000000000001" customHeight="1" x14ac:dyDescent="0.25">
      <c r="A79" s="249"/>
      <c r="B79" s="243" t="s">
        <v>260</v>
      </c>
      <c r="C79" s="177">
        <f t="shared" ref="C79:H79" si="8">SUM(C72:C78)</f>
        <v>32843676</v>
      </c>
      <c r="D79" s="177">
        <f t="shared" si="8"/>
        <v>35919591</v>
      </c>
      <c r="E79" s="177">
        <f t="shared" si="8"/>
        <v>36119437</v>
      </c>
      <c r="F79" s="177">
        <f t="shared" si="8"/>
        <v>43758543</v>
      </c>
      <c r="G79" s="177">
        <f t="shared" si="8"/>
        <v>9492047</v>
      </c>
      <c r="H79" s="177">
        <f t="shared" si="8"/>
        <v>34266496</v>
      </c>
    </row>
    <row r="80" spans="1:8" ht="16.5" customHeight="1" x14ac:dyDescent="0.25">
      <c r="A80" s="249"/>
      <c r="B80" s="243" t="s">
        <v>259</v>
      </c>
      <c r="C80" s="177">
        <f t="shared" ref="C80:E80" si="9">C69+C79</f>
        <v>784789969</v>
      </c>
      <c r="D80" s="177">
        <f t="shared" si="9"/>
        <v>779137356</v>
      </c>
      <c r="E80" s="177">
        <f t="shared" si="9"/>
        <v>786024310</v>
      </c>
      <c r="F80" s="177">
        <f t="shared" ref="F80:G80" si="10">F69+F79</f>
        <v>788373573</v>
      </c>
      <c r="G80" s="177">
        <f t="shared" si="10"/>
        <v>296249573</v>
      </c>
      <c r="H80" s="177">
        <f t="shared" ref="H80" si="11">F80-G80</f>
        <v>492124000</v>
      </c>
    </row>
  </sheetData>
  <mergeCells count="9">
    <mergeCell ref="G2:G5"/>
    <mergeCell ref="F2:F5"/>
    <mergeCell ref="H2:H5"/>
    <mergeCell ref="B2:B5"/>
    <mergeCell ref="A41:B41"/>
    <mergeCell ref="A2:A5"/>
    <mergeCell ref="C2:C5"/>
    <mergeCell ref="D2:D5"/>
    <mergeCell ref="E2:E5"/>
  </mergeCells>
  <phoneticPr fontId="8" type="noConversion"/>
  <printOptions horizontalCentered="1"/>
  <pageMargins left="0.23622047244094491" right="0.23622047244094491" top="1.1023622047244095" bottom="0.19685039370078741" header="0.35433070866141736" footer="0.19685039370078741"/>
  <pageSetup paperSize="9" scale="53" fitToHeight="0" orientation="portrait" horizontalDpi="4294967294" r:id="rId1"/>
  <headerFooter alignWithMargins="0">
    <oddHeader xml:space="preserve">&amp;C&amp;"Arial CE,Félkövér"11/2019. (V.17.)  számú költségvetési rendelethez 
ZALAKAROS VÁROS ÖNKORMÁNYZATÁNAK ÉS KÖLTSÉGVETÉSI SZERVEI 
2018 ÉVI  BERUHÁZÁSI CÉLÚ KIADÁSAI FELADATONKÉNT&amp;R&amp;A
&amp;P.oldal
forintban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31</vt:i4>
      </vt:variant>
      <vt:variant>
        <vt:lpstr>Névvel ellátott tartományok</vt:lpstr>
      </vt:variant>
      <vt:variant>
        <vt:i4>24</vt:i4>
      </vt:variant>
    </vt:vector>
  </HeadingPairs>
  <TitlesOfParts>
    <vt:vector size="55" baseType="lpstr">
      <vt:lpstr>1.sz.m.-bevétel-kiadás összesít</vt:lpstr>
      <vt:lpstr>1.a szm.normatív támogatás </vt:lpstr>
      <vt:lpstr>2.sz.m.bevétel-kiadás </vt:lpstr>
      <vt:lpstr>3.sz.m.bevételek jogcímenként</vt:lpstr>
      <vt:lpstr>3.a.sz.m.bevételek cofog</vt:lpstr>
      <vt:lpstr>4.sz.m.kiadások cofog</vt:lpstr>
      <vt:lpstr>4.a. sz.m.egyéb műk.kiadás </vt:lpstr>
      <vt:lpstr>4.b.sz.m.ellátottak juttatása </vt:lpstr>
      <vt:lpstr>5.sz.m.-Beruházás és felújítás</vt:lpstr>
      <vt:lpstr>6.sz.m.-uniós projektek </vt:lpstr>
      <vt:lpstr>7.sz.m.- mérleg</vt:lpstr>
      <vt:lpstr>7.a.sz.m. - eredménykim.</vt:lpstr>
      <vt:lpstr>8.sz.m - több éves hat.járó.ei.</vt:lpstr>
      <vt:lpstr>9.sz.m.-maradványkimutatás</vt:lpstr>
      <vt:lpstr>10.sz.m.-maradványelszámolás</vt:lpstr>
      <vt:lpstr>11.sz.m. -vagyonkimutatás</vt:lpstr>
      <vt:lpstr>12.sz.m.-közvetett támogatások</vt:lpstr>
      <vt:lpstr>13. sz. mell. Pénzeszk.vált </vt:lpstr>
      <vt:lpstr>14. sz.m.adósságot kel.ügy.</vt:lpstr>
      <vt:lpstr>15.sz.m.részesedések</vt:lpstr>
      <vt:lpstr>16.sz.m. létszám</vt:lpstr>
      <vt:lpstr>17.sz.m.K01.Kvetési kiadások</vt:lpstr>
      <vt:lpstr>18.sz.m.K02.Kvetési bevételek</vt:lpstr>
      <vt:lpstr>19.sz.m.K03.Finansz.kiadások</vt:lpstr>
      <vt:lpstr>20.sz.m.Finansz.bevételek</vt:lpstr>
      <vt:lpstr>21.sz.m. mérleg</vt:lpstr>
      <vt:lpstr>22.sz.m.maradványkimutatás</vt:lpstr>
      <vt:lpstr>23.sz.m.eredménykimutatás</vt:lpstr>
      <vt:lpstr>24.a. Tájékoztató - támogatás</vt:lpstr>
      <vt:lpstr>24b.  Tájékoztató- támogatás</vt:lpstr>
      <vt:lpstr>Munka1</vt:lpstr>
      <vt:lpstr>adat</vt:lpstr>
      <vt:lpstr>'1.a szm.normatív támogatás '!Nyomtatási_cím</vt:lpstr>
      <vt:lpstr>'10.sz.m.-maradványelszámolás'!Nyomtatási_cím</vt:lpstr>
      <vt:lpstr>'11.sz.m. -vagyonkimutatás'!Nyomtatási_cím</vt:lpstr>
      <vt:lpstr>'14. sz.m.adósságot kel.ügy.'!Nyomtatási_cím</vt:lpstr>
      <vt:lpstr>'2.sz.m.bevétel-kiadás '!Nyomtatási_cím</vt:lpstr>
      <vt:lpstr>'24.a. Tájékoztató - támogatás'!Nyomtatási_cím</vt:lpstr>
      <vt:lpstr>'3.sz.m.bevételek jogcímenként'!Nyomtatási_cím</vt:lpstr>
      <vt:lpstr>'4.a. sz.m.egyéb műk.kiadás '!Nyomtatási_cím</vt:lpstr>
      <vt:lpstr>'5.sz.m.-Beruházás és felújítás'!Nyomtatási_cím</vt:lpstr>
      <vt:lpstr>'7.a.sz.m. - eredménykim.'!Nyomtatási_cím</vt:lpstr>
      <vt:lpstr>'7.sz.m.- mérleg'!Nyomtatási_cím</vt:lpstr>
      <vt:lpstr>'9.sz.m.-maradványkimutatás'!Nyomtatási_cím</vt:lpstr>
      <vt:lpstr>'1.sz.m.-bevétel-kiadás összesít'!Nyomtatási_terület</vt:lpstr>
      <vt:lpstr>'10.sz.m.-maradványelszámolás'!Nyomtatási_terület</vt:lpstr>
      <vt:lpstr>'14. sz.m.adósságot kel.ügy.'!Nyomtatási_terület</vt:lpstr>
      <vt:lpstr>'18.sz.m.K02.Kvetési bevételek'!Nyomtatási_terület</vt:lpstr>
      <vt:lpstr>'19.sz.m.K03.Finansz.kiadások'!Nyomtatási_terület</vt:lpstr>
      <vt:lpstr>'3.sz.m.bevételek jogcímenként'!Nyomtatási_terület</vt:lpstr>
      <vt:lpstr>'4.b.sz.m.ellátottak juttatása '!Nyomtatási_terület</vt:lpstr>
      <vt:lpstr>'5.sz.m.-Beruházás és felújítás'!Nyomtatási_terület</vt:lpstr>
      <vt:lpstr>'7.a.sz.m. - eredménykim.'!Nyomtatási_terület</vt:lpstr>
      <vt:lpstr>'7.sz.m.- mérleg'!Nyomtatási_terület</vt:lpstr>
      <vt:lpstr>'9.sz.m.-maradványkimutatás'!Nyomtatási_terület</vt:lpstr>
    </vt:vector>
  </TitlesOfParts>
  <Company>Zalakaros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Eszter dr. Szentgyörgyvölgyi</cp:lastModifiedBy>
  <cp:lastPrinted>2019-05-20T08:02:19Z</cp:lastPrinted>
  <dcterms:created xsi:type="dcterms:W3CDTF">2001-01-10T12:44:25Z</dcterms:created>
  <dcterms:modified xsi:type="dcterms:W3CDTF">2019-05-20T08:02:38Z</dcterms:modified>
</cp:coreProperties>
</file>